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chartsheets/sheet1.xml" ContentType="application/vnd.openxmlformats-officedocument.spreadsheetml.chart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5" windowWidth="14670" windowHeight="7890" activeTab="1"/>
  </bookViews>
  <sheets>
    <sheet name="Introduction" sheetId="14" r:id="rId1"/>
    <sheet name="Monitors" sheetId="7" r:id="rId2"/>
    <sheet name="Checks" sheetId="9" r:id="rId3"/>
    <sheet name="Audits" sheetId="10" r:id="rId4"/>
    <sheet name="Costs" sheetId="5" r:id="rId5"/>
    <sheet name="PQAO Consolidation" sheetId="16" r:id="rId6"/>
    <sheet name="Graph" sheetId="13" r:id="rId7"/>
    <sheet name="Lookup Table" sheetId="12" r:id="rId8"/>
  </sheets>
  <calcPr calcId="125725"/>
</workbook>
</file>

<file path=xl/calcChain.xml><?xml version="1.0" encoding="utf-8"?>
<calcChain xmlns="http://schemas.openxmlformats.org/spreadsheetml/2006/main">
  <c r="J4" i="16"/>
  <c r="K4" s="1"/>
  <c r="J5"/>
  <c r="K5" s="1"/>
  <c r="J6"/>
  <c r="K6"/>
  <c r="L6"/>
  <c r="J7"/>
  <c r="K7" s="1"/>
  <c r="J8"/>
  <c r="K8" s="1"/>
  <c r="L8"/>
  <c r="J9"/>
  <c r="K9" s="1"/>
  <c r="L9"/>
  <c r="J10"/>
  <c r="K10"/>
  <c r="L10"/>
  <c r="J11"/>
  <c r="K11" s="1"/>
  <c r="J12"/>
  <c r="K12" s="1"/>
  <c r="L12"/>
  <c r="J13"/>
  <c r="K13" s="1"/>
  <c r="L13"/>
  <c r="H5"/>
  <c r="H9"/>
  <c r="G4"/>
  <c r="H4" s="1"/>
  <c r="G5"/>
  <c r="G6"/>
  <c r="H6" s="1"/>
  <c r="G7"/>
  <c r="H7" s="1"/>
  <c r="G8"/>
  <c r="H8" s="1"/>
  <c r="G9"/>
  <c r="G10"/>
  <c r="H10" s="1"/>
  <c r="G11"/>
  <c r="H11" s="1"/>
  <c r="G12"/>
  <c r="H12" s="1"/>
  <c r="F6"/>
  <c r="F8"/>
  <c r="F9"/>
  <c r="F10"/>
  <c r="C4"/>
  <c r="D4" s="1"/>
  <c r="C5"/>
  <c r="D5" s="1"/>
  <c r="C6"/>
  <c r="D6" s="1"/>
  <c r="C7"/>
  <c r="D7" s="1"/>
  <c r="C8"/>
  <c r="D8" s="1"/>
  <c r="C9"/>
  <c r="D9" s="1"/>
  <c r="I9" s="1"/>
  <c r="C10"/>
  <c r="D10" s="1"/>
  <c r="C11"/>
  <c r="D11" s="1"/>
  <c r="C12"/>
  <c r="D12" s="1"/>
  <c r="D26" i="5"/>
  <c r="C22"/>
  <c r="B20"/>
  <c r="J16" i="16"/>
  <c r="K16" s="1"/>
  <c r="L16"/>
  <c r="J15"/>
  <c r="K15" s="1"/>
  <c r="J14"/>
  <c r="L14" s="1"/>
  <c r="G14"/>
  <c r="G15"/>
  <c r="H15" s="1"/>
  <c r="G13"/>
  <c r="H13" s="1"/>
  <c r="C5" i="9"/>
  <c r="C14" i="16"/>
  <c r="D14" s="1"/>
  <c r="C15"/>
  <c r="C13"/>
  <c r="D13" s="1"/>
  <c r="D15"/>
  <c r="B3"/>
  <c r="C17" s="1"/>
  <c r="G10" i="5"/>
  <c r="G8"/>
  <c r="G6"/>
  <c r="E4"/>
  <c r="B9" i="10"/>
  <c r="C3" i="16" s="1"/>
  <c r="D3" s="1"/>
  <c r="C7" i="9"/>
  <c r="D7" s="1"/>
  <c r="C8"/>
  <c r="D8" s="1"/>
  <c r="C6"/>
  <c r="D6" s="1"/>
  <c r="B17"/>
  <c r="B18"/>
  <c r="B19"/>
  <c r="B16"/>
  <c r="B12"/>
  <c r="B13"/>
  <c r="B14"/>
  <c r="B11"/>
  <c r="I4" i="12"/>
  <c r="I5"/>
  <c r="I6"/>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3"/>
  <c r="H4"/>
  <c r="H5"/>
  <c r="H6"/>
  <c r="H7"/>
  <c r="H8"/>
  <c r="H9"/>
  <c r="H10"/>
  <c r="H11"/>
  <c r="H12"/>
  <c r="H13"/>
  <c r="H14"/>
  <c r="H15"/>
  <c r="H16"/>
  <c r="H17"/>
  <c r="H18"/>
  <c r="H19"/>
  <c r="H20"/>
  <c r="H21"/>
  <c r="H22"/>
  <c r="H23"/>
  <c r="H24"/>
  <c r="H25"/>
  <c r="H26"/>
  <c r="H27"/>
  <c r="H28"/>
  <c r="H29"/>
  <c r="H30"/>
  <c r="H31"/>
  <c r="H32"/>
  <c r="H33"/>
  <c r="H34"/>
  <c r="H35"/>
  <c r="H36"/>
  <c r="H37"/>
  <c r="H38"/>
  <c r="H39"/>
  <c r="H40"/>
  <c r="H41"/>
  <c r="H42"/>
  <c r="H43"/>
  <c r="H44"/>
  <c r="H45"/>
  <c r="H46"/>
  <c r="H47"/>
  <c r="H48"/>
  <c r="H49"/>
  <c r="H50"/>
  <c r="H51"/>
  <c r="H52"/>
  <c r="H3"/>
  <c r="G4"/>
  <c r="G5"/>
  <c r="G6"/>
  <c r="G7"/>
  <c r="G8"/>
  <c r="G9"/>
  <c r="G10"/>
  <c r="G11"/>
  <c r="G12"/>
  <c r="G13"/>
  <c r="G14"/>
  <c r="G15"/>
  <c r="G16"/>
  <c r="G17"/>
  <c r="G18"/>
  <c r="G19"/>
  <c r="G20"/>
  <c r="G21"/>
  <c r="G22"/>
  <c r="G23"/>
  <c r="G24"/>
  <c r="G25"/>
  <c r="G26"/>
  <c r="G27"/>
  <c r="G28"/>
  <c r="G29"/>
  <c r="G30"/>
  <c r="G31"/>
  <c r="G32"/>
  <c r="G33"/>
  <c r="G34"/>
  <c r="G35"/>
  <c r="G36"/>
  <c r="G37"/>
  <c r="G38"/>
  <c r="G39"/>
  <c r="G40"/>
  <c r="G41"/>
  <c r="G42"/>
  <c r="G43"/>
  <c r="G44"/>
  <c r="G45"/>
  <c r="G46"/>
  <c r="G47"/>
  <c r="G48"/>
  <c r="G49"/>
  <c r="G50"/>
  <c r="G51"/>
  <c r="G52"/>
  <c r="G3"/>
  <c r="F52"/>
  <c r="F4"/>
  <c r="F5"/>
  <c r="F6"/>
  <c r="F7"/>
  <c r="F8"/>
  <c r="F9"/>
  <c r="F10"/>
  <c r="F11"/>
  <c r="F12"/>
  <c r="F13"/>
  <c r="F14"/>
  <c r="F15"/>
  <c r="F16"/>
  <c r="F17"/>
  <c r="F18"/>
  <c r="F19"/>
  <c r="F20"/>
  <c r="F21"/>
  <c r="F22"/>
  <c r="F23"/>
  <c r="F24"/>
  <c r="F25"/>
  <c r="F26"/>
  <c r="F27"/>
  <c r="F28"/>
  <c r="F29"/>
  <c r="F30"/>
  <c r="F31"/>
  <c r="F32"/>
  <c r="F33"/>
  <c r="F34"/>
  <c r="F35"/>
  <c r="F36"/>
  <c r="F37"/>
  <c r="F38"/>
  <c r="F39"/>
  <c r="F40"/>
  <c r="F41"/>
  <c r="F42"/>
  <c r="F43"/>
  <c r="F44"/>
  <c r="F45"/>
  <c r="F46"/>
  <c r="F47"/>
  <c r="F48"/>
  <c r="F49"/>
  <c r="F50"/>
  <c r="F51"/>
  <c r="F3"/>
  <c r="C22" i="7"/>
  <c r="C11" i="10" s="1"/>
  <c r="G3" i="16" s="1"/>
  <c r="G16" s="1"/>
  <c r="H16" s="1"/>
  <c r="E28" i="9"/>
  <c r="E27"/>
  <c r="C31" i="7"/>
  <c r="G15" i="10" s="1"/>
  <c r="E19" i="9"/>
  <c r="E14"/>
  <c r="E22"/>
  <c r="F24"/>
  <c r="E24"/>
  <c r="E23"/>
  <c r="C27" i="7"/>
  <c r="H24"/>
  <c r="I24" s="1"/>
  <c r="H23"/>
  <c r="I23" s="1"/>
  <c r="J23"/>
  <c r="H26"/>
  <c r="I26" s="1"/>
  <c r="H28"/>
  <c r="I28" s="1"/>
  <c r="H29"/>
  <c r="I29" s="1"/>
  <c r="H30"/>
  <c r="I30" s="1"/>
  <c r="H32"/>
  <c r="I32" s="1"/>
  <c r="H34"/>
  <c r="I34" s="1"/>
  <c r="H35"/>
  <c r="I35" s="1"/>
  <c r="I4" i="16" l="1"/>
  <c r="I12"/>
  <c r="I11"/>
  <c r="I8"/>
  <c r="I7"/>
  <c r="L5"/>
  <c r="F5" s="1"/>
  <c r="I5"/>
  <c r="I10"/>
  <c r="I6"/>
  <c r="F12"/>
  <c r="F14"/>
  <c r="L11"/>
  <c r="F11" s="1"/>
  <c r="L7"/>
  <c r="F7" s="1"/>
  <c r="L4"/>
  <c r="F4" s="1"/>
  <c r="H14"/>
  <c r="I14" s="1"/>
  <c r="K14"/>
  <c r="F13"/>
  <c r="L15"/>
  <c r="F15" s="1"/>
  <c r="D16" i="10"/>
  <c r="D15"/>
  <c r="D10" i="5"/>
  <c r="C6"/>
  <c r="E3" i="16"/>
  <c r="J17" s="1"/>
  <c r="K17" s="1"/>
  <c r="H3"/>
  <c r="I3" s="1"/>
  <c r="D22" s="1"/>
  <c r="C16"/>
  <c r="D16" s="1"/>
  <c r="I16" s="1"/>
  <c r="I15"/>
  <c r="I13"/>
  <c r="D17"/>
  <c r="H31" i="7"/>
  <c r="I31" s="1"/>
  <c r="J35"/>
  <c r="J34"/>
  <c r="J28"/>
  <c r="J32"/>
  <c r="J30"/>
  <c r="D30" s="1"/>
  <c r="G13" i="10"/>
  <c r="J29" i="7"/>
  <c r="D29" s="1"/>
  <c r="J24"/>
  <c r="D24" s="1"/>
  <c r="F22" i="9" s="1"/>
  <c r="J26" i="7"/>
  <c r="L17" i="16" l="1"/>
  <c r="F17" s="1"/>
  <c r="G17"/>
  <c r="H17" s="1"/>
  <c r="F22" s="1"/>
  <c r="J31" i="7"/>
  <c r="C18" i="16"/>
  <c r="D18" s="1"/>
  <c r="E25" i="9"/>
  <c r="F28"/>
  <c r="G28"/>
  <c r="H28"/>
  <c r="H27"/>
  <c r="F27"/>
  <c r="E29" s="1"/>
  <c r="G27"/>
  <c r="D31" i="7"/>
  <c r="H15" i="10" s="1"/>
  <c r="G22" i="9"/>
  <c r="H22" s="1"/>
  <c r="G25" s="1"/>
  <c r="D27" i="7"/>
  <c r="H13" i="10" s="1"/>
  <c r="H8" i="5" s="1"/>
  <c r="H27" i="7"/>
  <c r="E12" i="9"/>
  <c r="E13"/>
  <c r="E16"/>
  <c r="E17"/>
  <c r="E18"/>
  <c r="E11"/>
  <c r="D5"/>
  <c r="H15" i="7"/>
  <c r="J15" s="1"/>
  <c r="H16"/>
  <c r="I16" s="1"/>
  <c r="H17"/>
  <c r="I17" s="1"/>
  <c r="H18"/>
  <c r="I18" s="1"/>
  <c r="E18" s="1"/>
  <c r="H19"/>
  <c r="I19" s="1"/>
  <c r="E19" s="1"/>
  <c r="H20"/>
  <c r="J20" s="1"/>
  <c r="H21"/>
  <c r="I21" s="1"/>
  <c r="E21" s="1"/>
  <c r="H14"/>
  <c r="I14" s="1"/>
  <c r="E6" i="10"/>
  <c r="F6" s="1"/>
  <c r="E7"/>
  <c r="F7" s="1"/>
  <c r="E8"/>
  <c r="F8" s="1"/>
  <c r="E5"/>
  <c r="F5" s="1"/>
  <c r="C11" i="7"/>
  <c r="I20"/>
  <c r="E20" s="1"/>
  <c r="D18"/>
  <c r="D21"/>
  <c r="J18"/>
  <c r="I15"/>
  <c r="D15" s="1"/>
  <c r="F12" i="9" s="1"/>
  <c r="D20" i="7"/>
  <c r="I17" i="16" l="1"/>
  <c r="G18"/>
  <c r="H18" s="1"/>
  <c r="I18" s="1"/>
  <c r="H10" i="5"/>
  <c r="B4"/>
  <c r="J14" i="7"/>
  <c r="D19"/>
  <c r="J21"/>
  <c r="J19"/>
  <c r="G29" i="9"/>
  <c r="J17" i="7"/>
  <c r="D17" s="1"/>
  <c r="F14" i="9" s="1"/>
  <c r="J16" i="7"/>
  <c r="D16" s="1"/>
  <c r="F13" i="9" s="1"/>
  <c r="G18"/>
  <c r="F18"/>
  <c r="H18"/>
  <c r="H19"/>
  <c r="G19"/>
  <c r="F19"/>
  <c r="H17"/>
  <c r="G17"/>
  <c r="F17"/>
  <c r="H15"/>
  <c r="G15"/>
  <c r="H16"/>
  <c r="G16"/>
  <c r="F16"/>
  <c r="F15"/>
  <c r="G13"/>
  <c r="H13" s="1"/>
  <c r="H22" i="7"/>
  <c r="I27"/>
  <c r="J27"/>
  <c r="D14"/>
  <c r="E22"/>
  <c r="G11" i="10"/>
  <c r="G12" i="9"/>
  <c r="H12" s="1"/>
  <c r="D9"/>
  <c r="E9" i="10"/>
  <c r="F4" i="5" s="1"/>
  <c r="H22" i="16" l="1"/>
  <c r="G14" i="9"/>
  <c r="H14" s="1"/>
  <c r="G11"/>
  <c r="H11" s="1"/>
  <c r="F11"/>
  <c r="E20" s="1"/>
  <c r="I22" i="7"/>
  <c r="J22"/>
  <c r="D22"/>
  <c r="F3" i="16" s="1"/>
  <c r="F16" s="1"/>
  <c r="F18" s="1"/>
  <c r="G20" i="9" l="1"/>
  <c r="H11" i="10"/>
  <c r="H6" i="5" s="1"/>
  <c r="B12" s="1"/>
  <c r="E15" i="9"/>
</calcChain>
</file>

<file path=xl/comments1.xml><?xml version="1.0" encoding="utf-8"?>
<comments xmlns="http://schemas.openxmlformats.org/spreadsheetml/2006/main">
  <authors>
    <author>melinda</author>
    <author>Jeremy Howe</author>
  </authors>
  <commentList>
    <comment ref="C12" authorId="0">
      <text>
        <r>
          <rPr>
            <b/>
            <sz val="9"/>
            <color indexed="81"/>
            <rFont val="Tahoma"/>
            <charset val="1"/>
          </rPr>
          <t>YOU MUST COMPLETE NUMBER OF SITES AS WELL AS NUMBER OF ANALYZERS</t>
        </r>
      </text>
    </comment>
    <comment ref="B14" authorId="1">
      <text>
        <r>
          <rPr>
            <b/>
            <sz val="8"/>
            <color indexed="81"/>
            <rFont val="Tahoma"/>
            <family val="2"/>
          </rPr>
          <t>Jeremy Howe:</t>
        </r>
        <r>
          <rPr>
            <sz val="8"/>
            <color indexed="81"/>
            <rFont val="Tahoma"/>
            <family val="2"/>
          </rPr>
          <t xml:space="preserve">
See below for a link to a list of approved methods</t>
        </r>
      </text>
    </comment>
  </commentList>
</comments>
</file>

<file path=xl/comments2.xml><?xml version="1.0" encoding="utf-8"?>
<comments xmlns="http://schemas.openxmlformats.org/spreadsheetml/2006/main">
  <authors>
    <author>Jeremy Howe</author>
  </authors>
  <commentList>
    <comment ref="C2" authorId="0">
      <text>
        <r>
          <rPr>
            <b/>
            <sz val="8"/>
            <color indexed="81"/>
            <rFont val="Tahoma"/>
            <family val="2"/>
          </rPr>
          <t>Jeremy Howe:</t>
        </r>
        <r>
          <rPr>
            <sz val="8"/>
            <color indexed="81"/>
            <rFont val="Tahoma"/>
            <family val="2"/>
          </rPr>
          <t xml:space="preserve">
Described in Section 3.2.1 of Appx A</t>
        </r>
      </text>
    </comment>
    <comment ref="E2" authorId="0">
      <text>
        <r>
          <rPr>
            <b/>
            <sz val="8"/>
            <color indexed="81"/>
            <rFont val="Tahoma"/>
            <family val="2"/>
          </rPr>
          <t>Jeremy Howe:</t>
        </r>
        <r>
          <rPr>
            <sz val="8"/>
            <color indexed="81"/>
            <rFont val="Tahoma"/>
            <family val="2"/>
          </rPr>
          <t xml:space="preserve">
Described in Section 3.2.3 of Appx A</t>
        </r>
      </text>
    </comment>
    <comment ref="G2" authorId="0">
      <text>
        <r>
          <rPr>
            <b/>
            <sz val="8"/>
            <color indexed="81"/>
            <rFont val="Tahoma"/>
            <family val="2"/>
          </rPr>
          <t>Jeremy Howe:</t>
        </r>
        <r>
          <rPr>
            <sz val="8"/>
            <color indexed="81"/>
            <rFont val="Tahoma"/>
            <family val="2"/>
          </rPr>
          <t xml:space="preserve">
Described in Section 3.2.5 of Appx A</t>
        </r>
      </text>
    </comment>
    <comment ref="F22" authorId="0">
      <text>
        <r>
          <rPr>
            <b/>
            <sz val="8"/>
            <color indexed="81"/>
            <rFont val="Tahoma"/>
            <family val="2"/>
          </rPr>
          <t>Jeremy Howe:</t>
        </r>
        <r>
          <rPr>
            <sz val="8"/>
            <color indexed="81"/>
            <rFont val="Tahoma"/>
            <family val="2"/>
          </rPr>
          <t xml:space="preserve">
Assumes all collocated are low vol which need verified every month instead of every quarter like hi vol</t>
        </r>
      </text>
    </comment>
  </commentList>
</comments>
</file>

<file path=xl/comments3.xml><?xml version="1.0" encoding="utf-8"?>
<comments xmlns="http://schemas.openxmlformats.org/spreadsheetml/2006/main">
  <authors>
    <author>Jeremy Howe</author>
  </authors>
  <commentList>
    <comment ref="B3" authorId="0">
      <text>
        <r>
          <rPr>
            <b/>
            <sz val="8"/>
            <color indexed="81"/>
            <rFont val="Tahoma"/>
            <family val="2"/>
          </rPr>
          <t>Jeremy Howe:</t>
        </r>
        <r>
          <rPr>
            <sz val="8"/>
            <color indexed="81"/>
            <rFont val="Tahoma"/>
            <family val="2"/>
          </rPr>
          <t xml:space="preserve">
NPAP and PEP audits are required even if you are doing annual audits from an outside organization</t>
        </r>
      </text>
    </comment>
    <comment ref="E3" authorId="0">
      <text>
        <r>
          <rPr>
            <b/>
            <sz val="8"/>
            <color indexed="81"/>
            <rFont val="Tahoma"/>
            <family val="2"/>
          </rPr>
          <t>Jeremy Howe:</t>
        </r>
        <r>
          <rPr>
            <sz val="8"/>
            <color indexed="81"/>
            <rFont val="Tahoma"/>
            <family val="2"/>
          </rPr>
          <t xml:space="preserve">
Described in Section 3.2.2 of Appx A</t>
        </r>
      </text>
    </comment>
    <comment ref="G3" authorId="0">
      <text>
        <r>
          <rPr>
            <b/>
            <sz val="8"/>
            <color indexed="81"/>
            <rFont val="Tahoma"/>
            <family val="2"/>
          </rPr>
          <t>Jeremy Howe:</t>
        </r>
        <r>
          <rPr>
            <sz val="8"/>
            <color indexed="81"/>
            <rFont val="Tahoma"/>
            <family val="2"/>
          </rPr>
          <t xml:space="preserve">
Described in Section 3.2.4 of Appx A</t>
        </r>
      </text>
    </comment>
    <comment ref="C4" authorId="0">
      <text>
        <r>
          <rPr>
            <b/>
            <sz val="8"/>
            <color indexed="81"/>
            <rFont val="Tahoma"/>
            <family val="2"/>
          </rPr>
          <t>Jeremy Howe:</t>
        </r>
        <r>
          <rPr>
            <sz val="8"/>
            <color indexed="81"/>
            <rFont val="Tahoma"/>
            <family val="2"/>
          </rPr>
          <t xml:space="preserve">
Described in Section 3.2.7 of Appx A</t>
        </r>
      </text>
    </comment>
    <comment ref="D15" authorId="0">
      <text>
        <r>
          <rPr>
            <b/>
            <sz val="8"/>
            <color indexed="81"/>
            <rFont val="Tahoma"/>
            <family val="2"/>
          </rPr>
          <t>Jeremy Howe:</t>
        </r>
        <r>
          <rPr>
            <sz val="8"/>
            <color indexed="81"/>
            <rFont val="Tahoma"/>
            <family val="2"/>
          </rPr>
          <t xml:space="preserve">
1/4 PEP if &lt; 5 sites, 2/6 PEP if &gt; 5 sites</t>
        </r>
      </text>
    </comment>
  </commentList>
</comments>
</file>

<file path=xl/comments4.xml><?xml version="1.0" encoding="utf-8"?>
<comments xmlns="http://schemas.openxmlformats.org/spreadsheetml/2006/main">
  <authors>
    <author>Jeremy Howe</author>
  </authors>
  <commentList>
    <comment ref="E2" authorId="0">
      <text>
        <r>
          <rPr>
            <b/>
            <sz val="8"/>
            <color indexed="81"/>
            <rFont val="Tahoma"/>
            <family val="2"/>
          </rPr>
          <t>Jeremy Howe:</t>
        </r>
        <r>
          <rPr>
            <sz val="8"/>
            <color indexed="81"/>
            <rFont val="Tahoma"/>
            <family val="2"/>
          </rPr>
          <t xml:space="preserve">
Described in Section 3.2.2 of Appx A</t>
        </r>
      </text>
    </comment>
    <comment ref="G2" authorId="0">
      <text>
        <r>
          <rPr>
            <b/>
            <sz val="8"/>
            <color indexed="81"/>
            <rFont val="Tahoma"/>
            <family val="2"/>
          </rPr>
          <t>Jeremy Howe:</t>
        </r>
        <r>
          <rPr>
            <sz val="8"/>
            <color indexed="81"/>
            <rFont val="Tahoma"/>
            <family val="2"/>
          </rPr>
          <t xml:space="preserve">
Described in Section 3.2.4 of Appx A</t>
        </r>
      </text>
    </comment>
    <comment ref="C3" authorId="0">
      <text>
        <r>
          <rPr>
            <b/>
            <sz val="8"/>
            <color indexed="81"/>
            <rFont val="Tahoma"/>
            <family val="2"/>
          </rPr>
          <t>Jeremy Howe:</t>
        </r>
        <r>
          <rPr>
            <sz val="8"/>
            <color indexed="81"/>
            <rFont val="Tahoma"/>
            <family val="2"/>
          </rPr>
          <t xml:space="preserve">
Described in Section 3.2.7 of Appx A</t>
        </r>
      </text>
    </comment>
    <comment ref="D10" authorId="0">
      <text>
        <r>
          <rPr>
            <b/>
            <sz val="8"/>
            <color indexed="81"/>
            <rFont val="Tahoma"/>
            <family val="2"/>
          </rPr>
          <t>Jeremy Howe:</t>
        </r>
        <r>
          <rPr>
            <sz val="8"/>
            <color indexed="81"/>
            <rFont val="Tahoma"/>
            <family val="2"/>
          </rPr>
          <t xml:space="preserve">
1/4 PEP if &lt; 5 sites, 2/6 PEP if &gt; 5 sites</t>
        </r>
      </text>
    </comment>
    <comment ref="D27" authorId="0">
      <text>
        <r>
          <rPr>
            <b/>
            <sz val="8"/>
            <color indexed="81"/>
            <rFont val="Tahoma"/>
            <family val="2"/>
          </rPr>
          <t>Jeremy Howe:</t>
        </r>
        <r>
          <rPr>
            <sz val="8"/>
            <color indexed="81"/>
            <rFont val="Tahoma"/>
            <family val="2"/>
          </rPr>
          <t xml:space="preserve">
Uses collocated monitor with filter and analysis from Lead PEP lab</t>
        </r>
      </text>
    </comment>
  </commentList>
</comments>
</file>

<file path=xl/sharedStrings.xml><?xml version="1.0" encoding="utf-8"?>
<sst xmlns="http://schemas.openxmlformats.org/spreadsheetml/2006/main" count="165" uniqueCount="113">
  <si>
    <t>1- Point QC Checks</t>
  </si>
  <si>
    <t>Annual Performance Evaluation</t>
  </si>
  <si>
    <t>Ozone Monitors</t>
  </si>
  <si>
    <t>Carbon Monoxide</t>
  </si>
  <si>
    <t>Sulfur Dioxide</t>
  </si>
  <si>
    <t>Nitrogen Dioxide</t>
  </si>
  <si>
    <t>Total Gaseous Monitors</t>
  </si>
  <si>
    <t>Total PM 2.5 Samplers</t>
  </si>
  <si>
    <t>NPAP</t>
  </si>
  <si>
    <t>PEP</t>
  </si>
  <si>
    <t>Pb PEP</t>
  </si>
  <si>
    <t>Ozone</t>
  </si>
  <si>
    <t>PM 2.5</t>
  </si>
  <si>
    <t>Total Checks Needed</t>
  </si>
  <si>
    <t>Completely Independent Audits</t>
  </si>
  <si>
    <t>Monitoring Season</t>
  </si>
  <si>
    <t>Starts</t>
  </si>
  <si>
    <t>Stops</t>
  </si>
  <si>
    <t>Each Instrument</t>
  </si>
  <si>
    <t>Whole Network</t>
  </si>
  <si>
    <t>Collocated Needed</t>
  </si>
  <si>
    <t>FRM</t>
  </si>
  <si>
    <t>FEM</t>
  </si>
  <si>
    <t>Can't use</t>
  </si>
  <si>
    <t>Total  PM 2.5 Samplers</t>
  </si>
  <si>
    <t>Monitors</t>
  </si>
  <si>
    <t>Primary</t>
  </si>
  <si>
    <t>Flow Rate Verifications</t>
  </si>
  <si>
    <t>Entire Network</t>
  </si>
  <si>
    <t>Semi-Annual Flow Rate Audits</t>
  </si>
  <si>
    <t>Collocated Samples</t>
  </si>
  <si>
    <t>Gasses</t>
  </si>
  <si>
    <t>General</t>
  </si>
  <si>
    <t xml:space="preserve"> </t>
  </si>
  <si>
    <t>Click Here for 40 CFR Part 58</t>
  </si>
  <si>
    <t>Click Here for a List of Approved FRMs and FEMs</t>
  </si>
  <si>
    <t>Audits that you are required to get</t>
  </si>
  <si>
    <t>Monitors in the network - fill in all white parts</t>
  </si>
  <si>
    <t>Click here to ask questions about how to use this PQAO spreadsheet</t>
  </si>
  <si>
    <t>PM 10</t>
  </si>
  <si>
    <t>PM 10 High Volume</t>
  </si>
  <si>
    <t>PM 10 Low Volume</t>
  </si>
  <si>
    <t>PM 10 Continuous</t>
  </si>
  <si>
    <t>Total PM 10 Samplers</t>
  </si>
  <si>
    <t>Collocated FRMs w/ FEMs</t>
  </si>
  <si>
    <t>Lead</t>
  </si>
  <si>
    <t>Lead (PM 10 sample)</t>
  </si>
  <si>
    <t>Lead (TSP sample)</t>
  </si>
  <si>
    <t>Total Lead Samplers</t>
  </si>
  <si>
    <t>Lead (PM 10 sampler)</t>
  </si>
  <si>
    <t>Lead (TSP sampler)</t>
  </si>
  <si>
    <t>Grand Total</t>
  </si>
  <si>
    <t>Gas</t>
  </si>
  <si>
    <t>PM</t>
  </si>
  <si>
    <t>$NPAP</t>
  </si>
  <si>
    <t>$PEP</t>
  </si>
  <si>
    <t>$Total</t>
  </si>
  <si>
    <t>$/site</t>
  </si>
  <si>
    <t>This is how much money you need for audits - fill in all white parts</t>
  </si>
  <si>
    <t>even for year round monitoring</t>
  </si>
  <si>
    <t>Number of checks INCLUDE collocated monitors</t>
  </si>
  <si>
    <r>
      <t xml:space="preserve">QC Checks that </t>
    </r>
    <r>
      <rPr>
        <b/>
        <sz val="16"/>
        <color rgb="FFC00000"/>
        <rFont val="Arial"/>
        <family val="2"/>
      </rPr>
      <t>YOU</t>
    </r>
    <r>
      <rPr>
        <b/>
        <sz val="16"/>
        <color theme="4" tint="-0.249977111117893"/>
        <rFont val="Arial"/>
        <family val="2"/>
      </rPr>
      <t xml:space="preserve"> are required to do with your own standards</t>
    </r>
  </si>
  <si>
    <t>In Excel 2003 or earlier go on the Tools menu, point to Protection, and click Unprotect Sheet.  There is no password.</t>
  </si>
  <si>
    <t>In Excel 2007 go on the Review menu and click Unprotect Sheet.  There is no password.</t>
  </si>
  <si>
    <t>The entire file is editable: just unprotect each worksheet that you want to work on.</t>
  </si>
  <si>
    <t>PM 2.5 FRM Method A</t>
  </si>
  <si>
    <t>PM 2.5 FEM Method A</t>
  </si>
  <si>
    <t>PM 2.5 FRM Method B</t>
  </si>
  <si>
    <t>PM 2.5 FRM Method C</t>
  </si>
  <si>
    <t>PM 2.5 FRM Method D</t>
  </si>
  <si>
    <t>PM 2.5 FEM Method B</t>
  </si>
  <si>
    <t>PM 2.5 FEM Method C</t>
  </si>
  <si>
    <t>PM 2.5 FEM Method D</t>
  </si>
  <si>
    <t>Total Gaseous SITES</t>
  </si>
  <si>
    <t>You need to fill this out</t>
  </si>
  <si>
    <t>Lead PEP Collocated</t>
  </si>
  <si>
    <t>Enter cost for each audit here - Defaults are estimates ONLY!</t>
  </si>
  <si>
    <t>Tribe PQAO</t>
  </si>
  <si>
    <t>Number of Collocation Required</t>
  </si>
  <si>
    <t>Number of PEP Required</t>
  </si>
  <si>
    <t>B</t>
  </si>
  <si>
    <t>C</t>
  </si>
  <si>
    <t>D</t>
  </si>
  <si>
    <t>Savings</t>
  </si>
  <si>
    <t>A (your tribe)</t>
  </si>
  <si>
    <t>If Separate PQAOs</t>
  </si>
  <si>
    <t>If All in One PQAO</t>
  </si>
  <si>
    <t>Number of PM2.5 SITES</t>
  </si>
  <si>
    <t>Alone</t>
  </si>
  <si>
    <t>In PQAO</t>
  </si>
  <si>
    <t>Your Tribe's Cost</t>
  </si>
  <si>
    <t>Per Year</t>
  </si>
  <si>
    <t>Example scenario of audit costs for separate and joined PQAOs - Fill in all white fields</t>
  </si>
  <si>
    <t>Only fields in white are to be filled in, by you.  Other color fields will be automatically populated based on your number of monitors and sites that you enter into the white fields.</t>
  </si>
  <si>
    <t>All fields will be automatically populated based on your input to the white fields in the Monitors tab.</t>
  </si>
  <si>
    <t>PEP Cost</t>
  </si>
  <si>
    <t>NPAP Cost</t>
  </si>
  <si>
    <t>Total PEP        and NPAP</t>
  </si>
  <si>
    <t>Number of Gaseous       SITES</t>
  </si>
  <si>
    <t>Number of NPAP Audits Required</t>
  </si>
  <si>
    <t xml:space="preserve">Also, for PEP audits for PM 2.5 samplers (the equivalent of an NPAP audit)  the plateaus are different.  0 sites = 0 PEP audits (of course).  1-5 sites = 5 audits.  6-48 = 8 audits.  49-up = 1/6th of the PQAO.  So as you can see you want to avoid 1,6,49...  However, you have quite a long plateau from 6-48 without additional audits, so you have a lot of wiggle room there with doing more PEP audits.  
Finally, getting back to gaseous pollutants... An NPAP audit will cover all gaseous pollutants at each site.  So, if you have 1 site with CO, a second site with SO2 and a third site with O3, you need 3 NPAP audits per year since you need to cover 20% of your network on a per gaseous pollutant basis.  HOWEVER, if all the CO, SO2 and O3 were located at 1 site, YOU WOULD ONLY NEED 1 NPAP AUDIT PER YEAR since the audit would cover all 3 pollutants.  Obviously, there could be good reasons for the monitors at different sites.  But if not, then you could save $4,000 per year (in this example) just by locating them all at one site without losing monitoring data.
</t>
  </si>
  <si>
    <r>
      <t xml:space="preserve">A few things from the author:
</t>
    </r>
    <r>
      <rPr>
        <sz val="10"/>
        <color rgb="FFC00000"/>
        <rFont val="Arial"/>
        <family val="2"/>
      </rPr>
      <t>Only fields in white are to be filled in, by you.  Other color fields will be automatically populated based on your number of monitors and sites that you enter into the white fields.</t>
    </r>
    <r>
      <rPr>
        <sz val="10"/>
        <rFont val="Arial"/>
        <family val="2"/>
      </rPr>
      <t xml:space="preserve">
There are many factors to consider when deciding how big or small a PQAO should be.  While no "formula" could possibly "calculate" the correct answer for you, there are some rules of thumb that I've found out while making this spreadsheet.  These are illustrated in the Graphs tab that shows costs on the x-axis and numbers of monitors on the y-axis.  NPAP audits are required for gaseous monitors, PEP audits for PM2.5 monitors.
You are allowed to spread the QA functions around a PQAO.  Thus, as you add sites, the cost of QA per site goes down.  However, eventually once enough monitors are added you have to acquire additional QA functions.  Then as you add sites, the cost of QA per site goes down again until yet again you acquire enough monitors that you have to acquire additional QA functions.  And the cycle repeats itself for each one of these "QA plateaus".  
For instance, you have to get an NPAP audit for at least 20% of your gaseous pollutant sites for the PQAO each year.  0 sites = $0 of course.     1 site = 1 NPAP audit.  So the cost is $2,000 per year for the PQAO of 1 site (or $2,000 per site per year).  If the PQAO has 2 sites, you still only need 1 NPAP audit as you are hitting 50% of the PQAO's sites, but now the cost per site per year is $1,000.  Same thing for 3, 4 and 5 sites.  At 5 sites your cost is $400 per site since you still only need 1 NPAP audit per  site per year.   So now instead of 5 tribes paying  $2,000 a piece, each one only pays $400 at a savings of $1,600 per site.
However, adding one more monitor requires 2 NPAP audits per year.  So now instead of the PQAO paying $2,000 for NPAP audits, it has to pay $4,000 which is roughly $667 per site.  Thus, for adding 1 site, you are doubling the cost for the PQAO for NPAP audits.  So, you want to avoid going to the next plateau of 2 NPAP audits if possible if the only consideration is cost.  Likewise, you want to stay on the 1 NPAP plateau but maximize it at 5 sites for the most "bang for the buck".
These plateaus can be explained mathematically to help you out.  In the case of the NPAP audits, you want to avoid the total sites for each pollutant in the PQAO from being = 5x+1 (x being the number of sites).  i.e., 1,6,11,16,21...
</t>
    </r>
  </si>
  <si>
    <t>Click here to find the costs for Completely Independent Audits in your EPA Region</t>
  </si>
  <si>
    <t>You need to look up actual costs for audits  - see green link below</t>
  </si>
  <si>
    <t>E</t>
  </si>
  <si>
    <t>F</t>
  </si>
  <si>
    <t>G</t>
  </si>
  <si>
    <t>H</t>
  </si>
  <si>
    <t>I</t>
  </si>
  <si>
    <t>J</t>
  </si>
  <si>
    <t>K</t>
  </si>
  <si>
    <t>L</t>
  </si>
  <si>
    <t>M</t>
  </si>
</sst>
</file>

<file path=xl/styles.xml><?xml version="1.0" encoding="utf-8"?>
<styleSheet xmlns="http://schemas.openxmlformats.org/spreadsheetml/2006/main">
  <numFmts count="6">
    <numFmt numFmtId="44" formatCode="_(&quot;$&quot;* #,##0.00_);_(&quot;$&quot;* \(#,##0.00\);_(&quot;$&quot;* &quot;-&quot;??_);_(@_)"/>
    <numFmt numFmtId="43" formatCode="_(* #,##0.00_);_(* \(#,##0.00\);_(* &quot;-&quot;??_);_(@_)"/>
    <numFmt numFmtId="164" formatCode="[$-409]dd\-mmm\-yy;@"/>
    <numFmt numFmtId="165" formatCode="&quot;$&quot;#,##0"/>
    <numFmt numFmtId="166" formatCode="_(* #,##0_);_(* \(#,##0\);_(* &quot;-&quot;??_);_(@_)"/>
    <numFmt numFmtId="167" formatCode="mm/dd/yyyy"/>
  </numFmts>
  <fonts count="27">
    <font>
      <sz val="10"/>
      <name val="Arial"/>
    </font>
    <font>
      <sz val="10"/>
      <name val="Arial"/>
      <family val="2"/>
    </font>
    <font>
      <i/>
      <sz val="10"/>
      <name val="Arial"/>
      <family val="2"/>
    </font>
    <font>
      <sz val="8"/>
      <color indexed="81"/>
      <name val="Tahoma"/>
      <family val="2"/>
    </font>
    <font>
      <b/>
      <sz val="8"/>
      <color indexed="81"/>
      <name val="Tahoma"/>
      <family val="2"/>
    </font>
    <font>
      <sz val="10"/>
      <color theme="0"/>
      <name val="Arial"/>
      <family val="2"/>
    </font>
    <font>
      <i/>
      <sz val="10"/>
      <color theme="0"/>
      <name val="Arial"/>
      <family val="2"/>
    </font>
    <font>
      <b/>
      <i/>
      <sz val="10"/>
      <name val="Arial"/>
      <family val="2"/>
    </font>
    <font>
      <sz val="10"/>
      <color rgb="FFFFFF00"/>
      <name val="Arial"/>
      <family val="2"/>
    </font>
    <font>
      <b/>
      <i/>
      <sz val="10"/>
      <color rgb="FFFFFF00"/>
      <name val="Arial"/>
      <family val="2"/>
    </font>
    <font>
      <u/>
      <sz val="10"/>
      <color theme="10"/>
      <name val="Arial"/>
      <family val="2"/>
    </font>
    <font>
      <b/>
      <sz val="16"/>
      <color theme="4" tint="-0.249977111117893"/>
      <name val="Arial"/>
      <family val="2"/>
    </font>
    <font>
      <sz val="10"/>
      <name val="Arial"/>
    </font>
    <font>
      <b/>
      <sz val="10"/>
      <color rgb="FFC00000"/>
      <name val="Arial"/>
      <family val="2"/>
    </font>
    <font>
      <b/>
      <sz val="18"/>
      <color rgb="FFC00000"/>
      <name val="Arial"/>
      <family val="2"/>
    </font>
    <font>
      <b/>
      <sz val="16"/>
      <color rgb="FFC00000"/>
      <name val="Arial"/>
      <family val="2"/>
    </font>
    <font>
      <b/>
      <sz val="10"/>
      <name val="Arial"/>
      <family val="2"/>
    </font>
    <font>
      <b/>
      <sz val="10"/>
      <color rgb="FFFF0000"/>
      <name val="Arial"/>
      <family val="2"/>
    </font>
    <font>
      <b/>
      <sz val="10"/>
      <color rgb="FFFFFF00"/>
      <name val="Arial"/>
      <family val="2"/>
    </font>
    <font>
      <b/>
      <sz val="12"/>
      <color theme="4" tint="-0.249977111117893"/>
      <name val="Arial"/>
      <family val="2"/>
    </font>
    <font>
      <sz val="26"/>
      <color rgb="FFFFFF00"/>
      <name val="Arial"/>
      <family val="2"/>
    </font>
    <font>
      <b/>
      <i/>
      <sz val="26"/>
      <name val="Arial"/>
      <family val="2"/>
    </font>
    <font>
      <i/>
      <sz val="26"/>
      <name val="Arial"/>
      <family val="2"/>
    </font>
    <font>
      <b/>
      <sz val="26"/>
      <color rgb="FFFFFF00"/>
      <name val="Arial"/>
      <family val="2"/>
    </font>
    <font>
      <sz val="10"/>
      <color rgb="FFC00000"/>
      <name val="Arial"/>
      <family val="2"/>
    </font>
    <font>
      <sz val="11"/>
      <color rgb="FFC00000"/>
      <name val="Arial"/>
      <family val="2"/>
    </font>
    <font>
      <b/>
      <sz val="9"/>
      <color indexed="81"/>
      <name val="Tahoma"/>
      <charset val="1"/>
    </font>
  </fonts>
  <fills count="9">
    <fill>
      <patternFill patternType="none"/>
    </fill>
    <fill>
      <patternFill patternType="gray125"/>
    </fill>
    <fill>
      <patternFill patternType="solid">
        <fgColor theme="4" tint="-0.249977111117893"/>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rgb="FF20FB15"/>
        <bgColor indexed="64"/>
      </patternFill>
    </fill>
    <fill>
      <patternFill patternType="solid">
        <fgColor theme="4" tint="0.59999389629810485"/>
        <bgColor indexed="64"/>
      </patternFill>
    </fill>
    <fill>
      <patternFill patternType="solid">
        <fgColor rgb="FFFFC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0" fontId="10" fillId="0" borderId="0" applyNumberFormat="0" applyFill="0" applyBorder="0" applyAlignment="0" applyProtection="0">
      <alignment vertical="top"/>
      <protection locked="0"/>
    </xf>
    <xf numFmtId="43" fontId="12" fillId="0" borderId="0" applyFont="0" applyFill="0" applyBorder="0" applyAlignment="0" applyProtection="0"/>
    <xf numFmtId="44" fontId="12" fillId="0" borderId="0" applyFont="0" applyFill="0" applyBorder="0" applyAlignment="0" applyProtection="0"/>
  </cellStyleXfs>
  <cellXfs count="296">
    <xf numFmtId="0" fontId="0" fillId="0" borderId="0" xfId="0"/>
    <xf numFmtId="0" fontId="1" fillId="0" borderId="0" xfId="0" applyFont="1"/>
    <xf numFmtId="0" fontId="9" fillId="2" borderId="1" xfId="0" applyFont="1" applyFill="1" applyBorder="1" applyAlignment="1">
      <alignment vertical="center"/>
    </xf>
    <xf numFmtId="0" fontId="0" fillId="0" borderId="0" xfId="0" applyFill="1" applyAlignment="1">
      <alignment horizontal="center" vertical="center"/>
    </xf>
    <xf numFmtId="0" fontId="1" fillId="5" borderId="1" xfId="0" applyFont="1" applyFill="1" applyBorder="1" applyAlignment="1" applyProtection="1">
      <alignment horizontal="center" vertical="center"/>
      <protection locked="0"/>
    </xf>
    <xf numFmtId="0" fontId="0" fillId="3" borderId="0" xfId="0" applyFill="1" applyBorder="1" applyAlignment="1">
      <alignment vertical="center"/>
    </xf>
    <xf numFmtId="0" fontId="0" fillId="4" borderId="13" xfId="0" applyFill="1" applyBorder="1" applyAlignment="1">
      <alignment vertical="center"/>
    </xf>
    <xf numFmtId="0" fontId="1" fillId="5" borderId="13" xfId="0" applyFont="1" applyFill="1" applyBorder="1" applyAlignment="1" applyProtection="1">
      <alignment horizontal="center" vertical="center"/>
      <protection locked="0"/>
    </xf>
    <xf numFmtId="0" fontId="0" fillId="4" borderId="15" xfId="0" applyFill="1" applyBorder="1" applyAlignment="1">
      <alignment vertical="center"/>
    </xf>
    <xf numFmtId="0" fontId="1" fillId="5" borderId="15" xfId="0" applyFont="1" applyFill="1" applyBorder="1" applyAlignment="1" applyProtection="1">
      <alignment horizontal="center" vertical="center"/>
      <protection locked="0"/>
    </xf>
    <xf numFmtId="0" fontId="0" fillId="4" borderId="14" xfId="0" applyFill="1" applyBorder="1" applyAlignment="1">
      <alignment vertical="center"/>
    </xf>
    <xf numFmtId="0" fontId="1" fillId="5" borderId="14" xfId="0" applyFont="1" applyFill="1" applyBorder="1" applyAlignment="1" applyProtection="1">
      <alignment horizontal="center" vertical="center"/>
      <protection locked="0"/>
    </xf>
    <xf numFmtId="0" fontId="8" fillId="2" borderId="14" xfId="0" applyFont="1" applyFill="1" applyBorder="1" applyAlignment="1">
      <alignment horizontal="center" vertical="center"/>
    </xf>
    <xf numFmtId="0" fontId="0" fillId="4" borderId="13" xfId="0" applyFill="1" applyBorder="1" applyAlignment="1">
      <alignment horizontal="right" vertical="center"/>
    </xf>
    <xf numFmtId="0" fontId="0" fillId="4" borderId="15" xfId="0" applyFill="1" applyBorder="1" applyAlignment="1">
      <alignment horizontal="right" vertical="center"/>
    </xf>
    <xf numFmtId="0" fontId="0" fillId="4" borderId="14" xfId="0" applyFill="1" applyBorder="1" applyAlignment="1">
      <alignment horizontal="right" vertical="center"/>
    </xf>
    <xf numFmtId="0" fontId="9" fillId="3" borderId="0" xfId="0" applyFont="1" applyFill="1" applyBorder="1" applyAlignment="1">
      <alignment vertical="center"/>
    </xf>
    <xf numFmtId="0" fontId="0" fillId="0" borderId="0" xfId="0" applyFill="1" applyAlignment="1">
      <alignment vertical="center"/>
    </xf>
    <xf numFmtId="0" fontId="8" fillId="2" borderId="3" xfId="0" applyFont="1" applyFill="1" applyBorder="1" applyAlignment="1">
      <alignment horizontal="center" vertical="center"/>
    </xf>
    <xf numFmtId="0" fontId="8" fillId="2" borderId="1" xfId="0" applyFont="1" applyFill="1" applyBorder="1" applyAlignment="1">
      <alignment horizontal="center" vertical="center"/>
    </xf>
    <xf numFmtId="1" fontId="0" fillId="0" borderId="0" xfId="0" applyNumberFormat="1"/>
    <xf numFmtId="1" fontId="1" fillId="0" borderId="0" xfId="0" applyNumberFormat="1" applyFont="1"/>
    <xf numFmtId="0" fontId="5" fillId="0" borderId="0" xfId="0" applyFont="1" applyFill="1" applyAlignment="1" applyProtection="1">
      <alignment horizontal="center" vertical="center"/>
    </xf>
    <xf numFmtId="0" fontId="0" fillId="0" borderId="0" xfId="0" applyFill="1" applyAlignment="1" applyProtection="1">
      <alignment horizontal="center" vertical="center"/>
    </xf>
    <xf numFmtId="164" fontId="8" fillId="2" borderId="8" xfId="0" applyNumberFormat="1" applyFont="1" applyFill="1" applyBorder="1" applyAlignment="1" applyProtection="1">
      <alignment horizontal="center" vertical="center"/>
    </xf>
    <xf numFmtId="0" fontId="8" fillId="2" borderId="13" xfId="0" applyFont="1" applyFill="1" applyBorder="1" applyAlignment="1" applyProtection="1">
      <alignment horizontal="center" vertical="center"/>
    </xf>
    <xf numFmtId="0" fontId="8" fillId="2" borderId="1" xfId="0" applyFont="1" applyFill="1" applyBorder="1" applyAlignment="1" applyProtection="1">
      <alignment horizontal="center" vertical="center"/>
    </xf>
    <xf numFmtId="164" fontId="8" fillId="2" borderId="1" xfId="0" applyNumberFormat="1" applyFont="1" applyFill="1" applyBorder="1" applyAlignment="1" applyProtection="1">
      <alignment horizontal="center" vertical="center"/>
    </xf>
    <xf numFmtId="0" fontId="0" fillId="3" borderId="0" xfId="0" applyFill="1" applyBorder="1" applyAlignment="1" applyProtection="1">
      <alignment horizontal="center" vertical="center"/>
    </xf>
    <xf numFmtId="164" fontId="0" fillId="3" borderId="0" xfId="0" applyNumberFormat="1" applyFill="1" applyBorder="1" applyAlignment="1" applyProtection="1">
      <alignment horizontal="center" vertical="center"/>
    </xf>
    <xf numFmtId="0" fontId="0" fillId="3" borderId="5" xfId="0" applyFill="1" applyBorder="1" applyAlignment="1" applyProtection="1">
      <alignment horizontal="center" vertical="center"/>
    </xf>
    <xf numFmtId="0" fontId="0" fillId="3" borderId="6" xfId="0"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9" fillId="2" borderId="14" xfId="0" applyFont="1" applyFill="1" applyBorder="1" applyAlignment="1" applyProtection="1">
      <alignment horizontal="center" vertical="center"/>
    </xf>
    <xf numFmtId="0" fontId="2" fillId="3" borderId="5" xfId="0"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164" fontId="2" fillId="3" borderId="0" xfId="0" applyNumberFormat="1" applyFont="1" applyFill="1" applyBorder="1" applyAlignment="1" applyProtection="1">
      <alignment horizontal="center" vertical="center"/>
    </xf>
    <xf numFmtId="0" fontId="6" fillId="0" borderId="0" xfId="0" applyFont="1" applyFill="1" applyAlignment="1" applyProtection="1">
      <alignment horizontal="center" vertical="center"/>
    </xf>
    <xf numFmtId="0" fontId="2" fillId="0" borderId="0" xfId="0" applyFont="1" applyFill="1" applyAlignment="1" applyProtection="1">
      <alignment horizontal="center" vertical="center"/>
    </xf>
    <xf numFmtId="0" fontId="0" fillId="3" borderId="11" xfId="0" applyFill="1" applyBorder="1" applyAlignment="1" applyProtection="1">
      <alignment horizontal="center" vertical="center"/>
    </xf>
    <xf numFmtId="0" fontId="1" fillId="4" borderId="13" xfId="0" applyFont="1" applyFill="1" applyBorder="1" applyAlignment="1" applyProtection="1">
      <alignment horizontal="center" vertical="center"/>
    </xf>
    <xf numFmtId="0" fontId="7" fillId="4" borderId="13" xfId="0" applyFont="1" applyFill="1" applyBorder="1" applyAlignment="1" applyProtection="1">
      <alignment horizontal="center" vertical="center"/>
    </xf>
    <xf numFmtId="0" fontId="1" fillId="3" borderId="13" xfId="0" applyFont="1" applyFill="1" applyBorder="1" applyAlignment="1" applyProtection="1">
      <alignment horizontal="center" vertical="center"/>
    </xf>
    <xf numFmtId="164" fontId="0" fillId="3" borderId="5" xfId="0" applyNumberFormat="1" applyFill="1" applyBorder="1" applyAlignment="1" applyProtection="1">
      <alignment horizontal="center" vertical="center"/>
    </xf>
    <xf numFmtId="0" fontId="7" fillId="4" borderId="15" xfId="0" applyFont="1" applyFill="1" applyBorder="1" applyAlignment="1" applyProtection="1">
      <alignment horizontal="center" vertical="center"/>
    </xf>
    <xf numFmtId="0" fontId="1" fillId="3" borderId="15" xfId="0" applyFont="1" applyFill="1" applyBorder="1" applyAlignment="1" applyProtection="1">
      <alignment horizontal="center" vertical="center"/>
    </xf>
    <xf numFmtId="0" fontId="1" fillId="4" borderId="14" xfId="0" applyFont="1" applyFill="1" applyBorder="1" applyAlignment="1" applyProtection="1">
      <alignment horizontal="center" vertical="center"/>
    </xf>
    <xf numFmtId="0" fontId="7" fillId="4" borderId="14" xfId="0" applyFont="1" applyFill="1" applyBorder="1" applyAlignment="1" applyProtection="1">
      <alignment horizontal="center" vertical="center"/>
    </xf>
    <xf numFmtId="0" fontId="1" fillId="3" borderId="14" xfId="0" applyFont="1" applyFill="1" applyBorder="1" applyAlignment="1" applyProtection="1">
      <alignment horizontal="center" vertical="center"/>
    </xf>
    <xf numFmtId="164" fontId="2" fillId="3" borderId="5" xfId="0" applyNumberFormat="1" applyFont="1" applyFill="1" applyBorder="1" applyAlignment="1" applyProtection="1">
      <alignment horizontal="center" vertical="center"/>
    </xf>
    <xf numFmtId="0" fontId="9" fillId="2" borderId="3" xfId="0" applyFont="1" applyFill="1" applyBorder="1" applyAlignment="1" applyProtection="1">
      <alignment horizontal="center" vertical="center"/>
    </xf>
    <xf numFmtId="0" fontId="1" fillId="3" borderId="5" xfId="0" applyFont="1" applyFill="1" applyBorder="1" applyAlignment="1" applyProtection="1">
      <alignment horizontal="center" vertical="center"/>
    </xf>
    <xf numFmtId="0" fontId="7" fillId="3" borderId="10" xfId="0" applyFont="1" applyFill="1" applyBorder="1" applyAlignment="1" applyProtection="1">
      <alignment horizontal="center" vertical="center"/>
    </xf>
    <xf numFmtId="0" fontId="7" fillId="3" borderId="0" xfId="0" applyFont="1" applyFill="1" applyBorder="1" applyAlignment="1" applyProtection="1">
      <alignment horizontal="center" vertical="center"/>
    </xf>
    <xf numFmtId="0" fontId="9" fillId="2" borderId="10" xfId="0" applyFont="1" applyFill="1" applyBorder="1" applyAlignment="1" applyProtection="1">
      <alignment horizontal="center" vertical="center"/>
    </xf>
    <xf numFmtId="0" fontId="9" fillId="3" borderId="5" xfId="0" applyFont="1" applyFill="1" applyBorder="1" applyAlignment="1" applyProtection="1">
      <alignment horizontal="center" vertical="center"/>
    </xf>
    <xf numFmtId="0" fontId="1" fillId="4" borderId="1" xfId="0" applyFont="1" applyFill="1" applyBorder="1" applyAlignment="1" applyProtection="1">
      <alignment horizontal="center" vertical="center"/>
    </xf>
    <xf numFmtId="0" fontId="7" fillId="4" borderId="1" xfId="0" applyFont="1" applyFill="1" applyBorder="1" applyAlignment="1" applyProtection="1">
      <alignment horizontal="center" vertical="center"/>
    </xf>
    <xf numFmtId="0" fontId="0" fillId="0" borderId="0" xfId="0" applyFill="1" applyAlignment="1" applyProtection="1">
      <alignment horizontal="center" vertical="center" textRotation="90"/>
    </xf>
    <xf numFmtId="164" fontId="0" fillId="0" borderId="0" xfId="0" applyNumberFormat="1" applyFill="1" applyAlignment="1" applyProtection="1">
      <alignment horizontal="center" vertical="center"/>
    </xf>
    <xf numFmtId="0" fontId="0" fillId="0" borderId="0" xfId="0" applyFill="1" applyBorder="1" applyAlignment="1" applyProtection="1">
      <alignment horizontal="left" vertical="center"/>
    </xf>
    <xf numFmtId="0" fontId="8" fillId="2" borderId="0" xfId="0" applyFont="1" applyFill="1" applyBorder="1" applyAlignment="1" applyProtection="1">
      <alignment horizontal="left" vertical="center"/>
    </xf>
    <xf numFmtId="0" fontId="8" fillId="2" borderId="11" xfId="0" applyFont="1" applyFill="1" applyBorder="1" applyAlignment="1" applyProtection="1">
      <alignment horizontal="center" vertical="center"/>
    </xf>
    <xf numFmtId="0" fontId="0" fillId="0" borderId="0" xfId="0" applyFill="1" applyBorder="1" applyAlignment="1" applyProtection="1">
      <alignment horizontal="center" vertical="center"/>
    </xf>
    <xf numFmtId="0" fontId="0" fillId="3" borderId="5" xfId="0" applyFill="1" applyBorder="1" applyAlignment="1" applyProtection="1">
      <alignment horizontal="center" vertical="center" textRotation="90"/>
    </xf>
    <xf numFmtId="0" fontId="0" fillId="4" borderId="7" xfId="0" applyFill="1" applyBorder="1" applyAlignment="1" applyProtection="1">
      <alignment horizontal="left" vertical="center"/>
    </xf>
    <xf numFmtId="0" fontId="7" fillId="4" borderId="7" xfId="0" applyFont="1" applyFill="1" applyBorder="1" applyAlignment="1" applyProtection="1">
      <alignment horizontal="right" vertical="center"/>
    </xf>
    <xf numFmtId="0" fontId="7" fillId="4" borderId="13" xfId="0" applyFont="1" applyFill="1" applyBorder="1" applyAlignment="1" applyProtection="1">
      <alignment horizontal="right" vertical="center"/>
    </xf>
    <xf numFmtId="0" fontId="0" fillId="3" borderId="0" xfId="0" applyFill="1" applyBorder="1" applyAlignment="1" applyProtection="1">
      <alignment horizontal="right" vertical="center"/>
    </xf>
    <xf numFmtId="0" fontId="0" fillId="3" borderId="6" xfId="0" applyFill="1" applyBorder="1" applyAlignment="1" applyProtection="1">
      <alignment horizontal="right" vertical="center"/>
    </xf>
    <xf numFmtId="0" fontId="0" fillId="4" borderId="5" xfId="0" applyFill="1" applyBorder="1" applyAlignment="1" applyProtection="1">
      <alignment horizontal="left" vertical="center"/>
    </xf>
    <xf numFmtId="0" fontId="7" fillId="4" borderId="5" xfId="0" applyFont="1" applyFill="1" applyBorder="1" applyAlignment="1" applyProtection="1">
      <alignment horizontal="right" vertical="center"/>
    </xf>
    <xf numFmtId="0" fontId="7" fillId="4" borderId="15" xfId="0" applyFont="1" applyFill="1" applyBorder="1" applyAlignment="1" applyProtection="1">
      <alignment horizontal="right" vertical="center"/>
    </xf>
    <xf numFmtId="0" fontId="9" fillId="2" borderId="1" xfId="0" applyFont="1" applyFill="1" applyBorder="1" applyAlignment="1" applyProtection="1">
      <alignment horizontal="left" vertical="center"/>
    </xf>
    <xf numFmtId="0" fontId="9" fillId="2" borderId="1" xfId="0" applyFont="1" applyFill="1" applyBorder="1" applyAlignment="1" applyProtection="1">
      <alignment horizontal="right" vertical="center"/>
    </xf>
    <xf numFmtId="0" fontId="0" fillId="3" borderId="0" xfId="0" applyFill="1" applyBorder="1" applyAlignment="1" applyProtection="1">
      <alignment horizontal="left" vertical="center"/>
    </xf>
    <xf numFmtId="0" fontId="1" fillId="4" borderId="13" xfId="0" applyFont="1" applyFill="1" applyBorder="1" applyAlignment="1" applyProtection="1">
      <alignment vertical="center"/>
    </xf>
    <xf numFmtId="0" fontId="1" fillId="4" borderId="15" xfId="0" applyFont="1" applyFill="1" applyBorder="1" applyAlignment="1" applyProtection="1">
      <alignment vertical="center"/>
    </xf>
    <xf numFmtId="0" fontId="1" fillId="4" borderId="14" xfId="0" applyFont="1" applyFill="1" applyBorder="1" applyAlignment="1" applyProtection="1">
      <alignment vertical="center"/>
    </xf>
    <xf numFmtId="0" fontId="7" fillId="4" borderId="10" xfId="0" applyFont="1" applyFill="1" applyBorder="1" applyAlignment="1" applyProtection="1">
      <alignment horizontal="right" vertical="center"/>
    </xf>
    <xf numFmtId="0" fontId="7" fillId="4" borderId="14" xfId="0" applyFont="1" applyFill="1" applyBorder="1" applyAlignment="1" applyProtection="1">
      <alignment horizontal="right" vertical="center"/>
    </xf>
    <xf numFmtId="0" fontId="7" fillId="4" borderId="0" xfId="0" applyFont="1" applyFill="1" applyBorder="1" applyAlignment="1" applyProtection="1">
      <alignment horizontal="right" vertical="center"/>
    </xf>
    <xf numFmtId="0" fontId="9" fillId="3" borderId="5" xfId="0" applyFont="1" applyFill="1" applyBorder="1" applyAlignment="1" applyProtection="1">
      <alignment horizontal="left" vertical="center"/>
    </xf>
    <xf numFmtId="0" fontId="9" fillId="3" borderId="6" xfId="0" applyFont="1" applyFill="1" applyBorder="1" applyAlignment="1" applyProtection="1">
      <alignment horizontal="left" vertical="center"/>
    </xf>
    <xf numFmtId="0" fontId="0" fillId="3" borderId="4" xfId="0" applyFill="1" applyBorder="1" applyAlignment="1" applyProtection="1">
      <alignment horizontal="right" vertical="center"/>
    </xf>
    <xf numFmtId="0" fontId="1" fillId="3" borderId="0" xfId="0" applyFont="1" applyFill="1" applyBorder="1" applyAlignment="1" applyProtection="1">
      <alignment horizontal="left" vertical="center"/>
    </xf>
    <xf numFmtId="0" fontId="7" fillId="3" borderId="3" xfId="0" applyFont="1" applyFill="1" applyBorder="1" applyAlignment="1" applyProtection="1">
      <alignment horizontal="right" vertical="center"/>
    </xf>
    <xf numFmtId="0" fontId="7" fillId="3" borderId="4" xfId="0" applyFont="1" applyFill="1" applyBorder="1" applyAlignment="1" applyProtection="1">
      <alignment horizontal="right" vertical="center"/>
    </xf>
    <xf numFmtId="0" fontId="9" fillId="2" borderId="1" xfId="0" applyFont="1" applyFill="1" applyBorder="1" applyAlignment="1" applyProtection="1">
      <alignment vertical="center"/>
    </xf>
    <xf numFmtId="0" fontId="1" fillId="4" borderId="1" xfId="0" applyFont="1" applyFill="1" applyBorder="1" applyAlignment="1" applyProtection="1">
      <alignment vertical="center"/>
    </xf>
    <xf numFmtId="0" fontId="7" fillId="4" borderId="1" xfId="0" applyFont="1" applyFill="1" applyBorder="1" applyAlignment="1" applyProtection="1">
      <alignment horizontal="right" vertical="center"/>
    </xf>
    <xf numFmtId="0" fontId="0" fillId="0" borderId="0" xfId="0" applyFill="1" applyBorder="1" applyAlignment="1" applyProtection="1">
      <alignment horizontal="right" vertical="center"/>
    </xf>
    <xf numFmtId="0" fontId="0" fillId="3" borderId="6" xfId="0" applyFill="1" applyBorder="1" applyAlignment="1">
      <alignment vertical="center"/>
    </xf>
    <xf numFmtId="0" fontId="0" fillId="3" borderId="5" xfId="0" applyFill="1" applyBorder="1" applyAlignment="1">
      <alignment vertical="center"/>
    </xf>
    <xf numFmtId="0" fontId="7" fillId="3" borderId="0" xfId="0" applyFont="1" applyFill="1" applyBorder="1" applyAlignment="1">
      <alignment vertical="center"/>
    </xf>
    <xf numFmtId="0" fontId="2" fillId="3" borderId="0" xfId="0" applyFont="1" applyFill="1" applyBorder="1" applyAlignment="1">
      <alignment vertical="center"/>
    </xf>
    <xf numFmtId="0" fontId="0" fillId="3" borderId="10" xfId="0" applyFill="1" applyBorder="1" applyAlignment="1">
      <alignment vertical="center"/>
    </xf>
    <xf numFmtId="0" fontId="0" fillId="3" borderId="11" xfId="0" applyFill="1" applyBorder="1" applyAlignment="1">
      <alignment vertical="center"/>
    </xf>
    <xf numFmtId="0" fontId="0" fillId="3" borderId="12" xfId="0" applyFill="1" applyBorder="1" applyAlignment="1">
      <alignment vertical="center"/>
    </xf>
    <xf numFmtId="0" fontId="2" fillId="3" borderId="5" xfId="0" applyFont="1" applyFill="1" applyBorder="1" applyAlignment="1">
      <alignment vertical="center"/>
    </xf>
    <xf numFmtId="0" fontId="2" fillId="3" borderId="5" xfId="0" applyFont="1" applyFill="1" applyBorder="1" applyAlignment="1" applyProtection="1">
      <alignment horizontal="center" vertical="center" textRotation="90"/>
    </xf>
    <xf numFmtId="0" fontId="0" fillId="3" borderId="6" xfId="0" applyFill="1" applyBorder="1" applyAlignment="1" applyProtection="1">
      <alignment horizontal="left" vertical="center"/>
    </xf>
    <xf numFmtId="0" fontId="0" fillId="3" borderId="10" xfId="0" applyFill="1" applyBorder="1" applyAlignment="1" applyProtection="1">
      <alignment horizontal="center" vertical="center" textRotation="90"/>
    </xf>
    <xf numFmtId="0" fontId="0" fillId="3" borderId="11" xfId="0" applyFill="1" applyBorder="1" applyAlignment="1" applyProtection="1">
      <alignment horizontal="left" vertical="center"/>
    </xf>
    <xf numFmtId="0" fontId="0" fillId="3" borderId="11" xfId="0" applyFill="1" applyBorder="1" applyAlignment="1" applyProtection="1">
      <alignment horizontal="right" vertical="center"/>
    </xf>
    <xf numFmtId="0" fontId="0" fillId="3" borderId="12" xfId="0" applyFill="1" applyBorder="1" applyAlignment="1" applyProtection="1">
      <alignment horizontal="left" vertical="center"/>
    </xf>
    <xf numFmtId="164" fontId="0" fillId="3" borderId="6" xfId="0" applyNumberFormat="1" applyFill="1" applyBorder="1" applyAlignment="1" applyProtection="1">
      <alignment horizontal="center" vertical="center"/>
    </xf>
    <xf numFmtId="164" fontId="2" fillId="3" borderId="6" xfId="0" applyNumberFormat="1" applyFont="1" applyFill="1" applyBorder="1" applyAlignment="1" applyProtection="1">
      <alignment horizontal="center" vertical="center"/>
    </xf>
    <xf numFmtId="0" fontId="0" fillId="5" borderId="0" xfId="0" applyFill="1"/>
    <xf numFmtId="0" fontId="9" fillId="2" borderId="10" xfId="0" applyFont="1" applyFill="1" applyBorder="1" applyAlignment="1" applyProtection="1">
      <alignment vertical="center"/>
    </xf>
    <xf numFmtId="164" fontId="8" fillId="2" borderId="9" xfId="0" applyNumberFormat="1" applyFont="1" applyFill="1" applyBorder="1" applyAlignment="1" applyProtection="1">
      <alignment horizontal="center" vertical="center"/>
    </xf>
    <xf numFmtId="0" fontId="7" fillId="4" borderId="15" xfId="0" applyFont="1" applyFill="1" applyBorder="1" applyAlignment="1" applyProtection="1">
      <alignment horizontal="right" vertical="center"/>
    </xf>
    <xf numFmtId="0" fontId="8" fillId="2" borderId="1" xfId="0" applyFont="1" applyFill="1" applyBorder="1" applyAlignment="1" applyProtection="1">
      <alignment horizontal="center" vertical="center"/>
    </xf>
    <xf numFmtId="0" fontId="8" fillId="2" borderId="1" xfId="0" applyFont="1" applyFill="1" applyBorder="1" applyAlignment="1">
      <alignment horizontal="center" vertical="center"/>
    </xf>
    <xf numFmtId="0" fontId="1" fillId="5" borderId="9" xfId="0" applyFont="1" applyFill="1" applyBorder="1" applyAlignment="1" applyProtection="1">
      <alignment horizontal="center" vertical="center"/>
      <protection locked="0"/>
    </xf>
    <xf numFmtId="0" fontId="1" fillId="5" borderId="6" xfId="0" applyFont="1" applyFill="1" applyBorder="1" applyAlignment="1" applyProtection="1">
      <alignment horizontal="center" vertical="center"/>
      <protection locked="0"/>
    </xf>
    <xf numFmtId="0" fontId="1" fillId="5" borderId="12" xfId="0" applyFont="1" applyFill="1" applyBorder="1" applyAlignment="1" applyProtection="1">
      <alignment horizontal="center" vertical="center"/>
      <protection locked="0"/>
    </xf>
    <xf numFmtId="0" fontId="0" fillId="4" borderId="9" xfId="0" applyFill="1" applyBorder="1" applyAlignment="1" applyProtection="1">
      <alignment horizontal="center" vertical="center"/>
    </xf>
    <xf numFmtId="0" fontId="0" fillId="4" borderId="6" xfId="0" applyFill="1" applyBorder="1" applyAlignment="1" applyProtection="1">
      <alignment horizontal="center" vertical="center"/>
    </xf>
    <xf numFmtId="0" fontId="0" fillId="4" borderId="12" xfId="0" applyFill="1" applyBorder="1" applyAlignment="1" applyProtection="1">
      <alignment horizontal="center" vertical="center"/>
    </xf>
    <xf numFmtId="0" fontId="9" fillId="2" borderId="4" xfId="0" applyFont="1" applyFill="1" applyBorder="1" applyAlignment="1" applyProtection="1">
      <alignment horizontal="center" vertical="center"/>
    </xf>
    <xf numFmtId="0" fontId="0" fillId="2" borderId="9" xfId="0" applyFill="1" applyBorder="1" applyAlignment="1" applyProtection="1">
      <alignment horizontal="center" vertical="center"/>
    </xf>
    <xf numFmtId="0" fontId="0" fillId="2" borderId="6" xfId="0" applyFill="1" applyBorder="1" applyAlignment="1" applyProtection="1">
      <alignment horizontal="center" vertical="center"/>
    </xf>
    <xf numFmtId="0" fontId="0" fillId="2" borderId="12" xfId="0" applyFill="1" applyBorder="1" applyAlignment="1" applyProtection="1">
      <alignment horizontal="center" vertical="center"/>
    </xf>
    <xf numFmtId="0" fontId="8" fillId="2" borderId="10" xfId="0" applyFont="1" applyFill="1" applyBorder="1" applyAlignment="1" applyProtection="1">
      <alignment horizontal="center" vertical="center"/>
    </xf>
    <xf numFmtId="167" fontId="1" fillId="5" borderId="1" xfId="0" applyNumberFormat="1" applyFont="1" applyFill="1" applyBorder="1" applyAlignment="1" applyProtection="1">
      <alignment horizontal="center" vertical="center"/>
      <protection locked="0"/>
    </xf>
    <xf numFmtId="167" fontId="1" fillId="3" borderId="0" xfId="0" applyNumberFormat="1" applyFont="1" applyFill="1" applyBorder="1" applyAlignment="1" applyProtection="1">
      <alignment horizontal="center" vertical="center"/>
    </xf>
    <xf numFmtId="167" fontId="1" fillId="3" borderId="6" xfId="0" applyNumberFormat="1" applyFont="1" applyFill="1" applyBorder="1" applyAlignment="1" applyProtection="1">
      <alignment horizontal="center" vertical="center"/>
    </xf>
    <xf numFmtId="3" fontId="1" fillId="3" borderId="0" xfId="0" applyNumberFormat="1" applyFont="1" applyFill="1" applyBorder="1" applyAlignment="1">
      <alignment horizontal="right" vertical="center"/>
    </xf>
    <xf numFmtId="0" fontId="1" fillId="3" borderId="0" xfId="0" applyFont="1" applyFill="1" applyBorder="1" applyAlignment="1">
      <alignment horizontal="right" vertical="center"/>
    </xf>
    <xf numFmtId="3" fontId="0" fillId="3" borderId="0" xfId="0" applyNumberFormat="1" applyFill="1" applyBorder="1" applyAlignment="1">
      <alignment vertical="center"/>
    </xf>
    <xf numFmtId="166" fontId="0" fillId="3" borderId="0" xfId="2" applyNumberFormat="1" applyFont="1" applyFill="1" applyBorder="1" applyAlignment="1">
      <alignment vertical="center"/>
    </xf>
    <xf numFmtId="166" fontId="1" fillId="3" borderId="0" xfId="2" applyNumberFormat="1" applyFont="1" applyFill="1" applyBorder="1" applyAlignment="1">
      <alignment vertical="center"/>
    </xf>
    <xf numFmtId="3" fontId="0" fillId="3" borderId="0" xfId="2" applyNumberFormat="1" applyFont="1" applyFill="1" applyBorder="1" applyAlignment="1">
      <alignment horizontal="right" vertical="center"/>
    </xf>
    <xf numFmtId="0" fontId="0" fillId="0" borderId="0" xfId="0" applyFill="1" applyBorder="1" applyAlignment="1">
      <alignment vertical="center"/>
    </xf>
    <xf numFmtId="0" fontId="0" fillId="0" borderId="0" xfId="0" applyAlignment="1" applyProtection="1">
      <alignment vertical="center"/>
    </xf>
    <xf numFmtId="0" fontId="8" fillId="2" borderId="14" xfId="0" applyFont="1" applyFill="1" applyBorder="1" applyAlignment="1" applyProtection="1">
      <alignment horizontal="center" vertical="center"/>
    </xf>
    <xf numFmtId="165" fontId="7" fillId="4" borderId="14" xfId="0" applyNumberFormat="1" applyFont="1" applyFill="1" applyBorder="1" applyAlignment="1" applyProtection="1">
      <alignment vertical="center"/>
    </xf>
    <xf numFmtId="165" fontId="9" fillId="3" borderId="0" xfId="0" applyNumberFormat="1" applyFont="1" applyFill="1" applyBorder="1" applyAlignment="1" applyProtection="1">
      <alignment vertical="center"/>
    </xf>
    <xf numFmtId="165" fontId="7" fillId="4" borderId="10" xfId="3" applyNumberFormat="1" applyFont="1" applyFill="1" applyBorder="1" applyAlignment="1" applyProtection="1">
      <alignment vertical="center"/>
    </xf>
    <xf numFmtId="165" fontId="7" fillId="4" borderId="14" xfId="3" applyNumberFormat="1" applyFont="1" applyFill="1" applyBorder="1" applyAlignment="1" applyProtection="1">
      <alignment vertical="center"/>
    </xf>
    <xf numFmtId="165" fontId="0" fillId="3" borderId="0" xfId="0" applyNumberFormat="1" applyFill="1" applyBorder="1" applyAlignment="1" applyProtection="1">
      <alignment vertical="center"/>
    </xf>
    <xf numFmtId="165" fontId="0" fillId="3" borderId="6" xfId="0" applyNumberFormat="1" applyFill="1" applyBorder="1" applyAlignment="1" applyProtection="1">
      <alignment vertical="center"/>
    </xf>
    <xf numFmtId="165" fontId="0" fillId="3" borderId="5" xfId="0" applyNumberFormat="1" applyFill="1" applyBorder="1" applyAlignment="1" applyProtection="1">
      <alignment vertical="center"/>
    </xf>
    <xf numFmtId="165" fontId="7" fillId="4" borderId="1" xfId="0" applyNumberFormat="1" applyFont="1" applyFill="1" applyBorder="1" applyAlignment="1" applyProtection="1">
      <alignment vertical="center"/>
    </xf>
    <xf numFmtId="165" fontId="7" fillId="3" borderId="0" xfId="0" applyNumberFormat="1" applyFont="1" applyFill="1" applyBorder="1" applyAlignment="1" applyProtection="1">
      <alignment vertical="center"/>
    </xf>
    <xf numFmtId="165" fontId="9" fillId="3" borderId="6" xfId="0" applyNumberFormat="1" applyFont="1" applyFill="1" applyBorder="1" applyAlignment="1" applyProtection="1">
      <alignment vertical="center"/>
    </xf>
    <xf numFmtId="165" fontId="2" fillId="3" borderId="0" xfId="0" applyNumberFormat="1" applyFont="1" applyFill="1" applyBorder="1" applyAlignment="1" applyProtection="1">
      <alignment vertical="center"/>
    </xf>
    <xf numFmtId="165" fontId="1" fillId="3" borderId="5" xfId="0" applyNumberFormat="1" applyFont="1" applyFill="1" applyBorder="1" applyAlignment="1" applyProtection="1">
      <alignment vertical="center"/>
    </xf>
    <xf numFmtId="165" fontId="9" fillId="2" borderId="1" xfId="0" applyNumberFormat="1" applyFont="1" applyFill="1" applyBorder="1" applyAlignment="1" applyProtection="1">
      <alignment vertical="center"/>
    </xf>
    <xf numFmtId="0" fontId="0" fillId="0" borderId="0" xfId="0" applyFill="1" applyAlignment="1" applyProtection="1">
      <alignment vertical="center"/>
    </xf>
    <xf numFmtId="165" fontId="0" fillId="3" borderId="0" xfId="2" applyNumberFormat="1" applyFont="1" applyFill="1" applyBorder="1" applyAlignment="1" applyProtection="1">
      <alignment vertical="center"/>
    </xf>
    <xf numFmtId="165" fontId="1" fillId="3" borderId="0" xfId="2" applyNumberFormat="1" applyFont="1" applyFill="1" applyBorder="1" applyAlignment="1" applyProtection="1">
      <alignment vertical="center"/>
    </xf>
    <xf numFmtId="165" fontId="0" fillId="5" borderId="14" xfId="0" applyNumberFormat="1" applyFill="1" applyBorder="1" applyAlignment="1" applyProtection="1">
      <alignment vertical="center"/>
      <protection locked="0"/>
    </xf>
    <xf numFmtId="165" fontId="0" fillId="5" borderId="1" xfId="0" applyNumberFormat="1" applyFill="1" applyBorder="1" applyAlignment="1" applyProtection="1">
      <alignment vertical="center"/>
      <protection locked="0"/>
    </xf>
    <xf numFmtId="165" fontId="0" fillId="5" borderId="1" xfId="2" applyNumberFormat="1" applyFont="1" applyFill="1" applyBorder="1" applyAlignment="1" applyProtection="1">
      <alignment vertical="center"/>
      <protection locked="0"/>
    </xf>
    <xf numFmtId="0" fontId="1" fillId="3" borderId="0" xfId="0" applyFont="1" applyFill="1" applyBorder="1"/>
    <xf numFmtId="0" fontId="1" fillId="3" borderId="0" xfId="0" applyFont="1" applyFill="1" applyBorder="1" applyAlignment="1">
      <alignment horizontal="center"/>
    </xf>
    <xf numFmtId="0" fontId="1" fillId="3" borderId="0" xfId="0" applyFont="1" applyFill="1" applyBorder="1" applyAlignment="1">
      <alignment vertical="center"/>
    </xf>
    <xf numFmtId="0" fontId="16" fillId="3" borderId="0" xfId="0" applyFont="1" applyFill="1" applyBorder="1" applyAlignment="1">
      <alignment horizontal="center"/>
    </xf>
    <xf numFmtId="0" fontId="16" fillId="0" borderId="0" xfId="0" applyFont="1" applyFill="1" applyBorder="1" applyAlignment="1">
      <alignment vertical="center"/>
    </xf>
    <xf numFmtId="0" fontId="17" fillId="0" borderId="0" xfId="0" applyFont="1" applyFill="1" applyBorder="1" applyAlignment="1">
      <alignment vertical="center"/>
    </xf>
    <xf numFmtId="0" fontId="1" fillId="3" borderId="8" xfId="0" applyFont="1" applyFill="1" applyBorder="1" applyAlignment="1">
      <alignment horizontal="center"/>
    </xf>
    <xf numFmtId="165" fontId="1" fillId="3" borderId="9" xfId="0" applyNumberFormat="1" applyFont="1" applyFill="1" applyBorder="1"/>
    <xf numFmtId="165" fontId="1" fillId="3" borderId="6" xfId="0" applyNumberFormat="1" applyFont="1" applyFill="1" applyBorder="1"/>
    <xf numFmtId="0" fontId="1" fillId="3" borderId="11" xfId="0" applyFont="1" applyFill="1" applyBorder="1" applyAlignment="1">
      <alignment horizontal="center"/>
    </xf>
    <xf numFmtId="165" fontId="1" fillId="3" borderId="12" xfId="0" applyNumberFormat="1" applyFont="1" applyFill="1" applyBorder="1"/>
    <xf numFmtId="0" fontId="16" fillId="3" borderId="8" xfId="0" applyFont="1" applyFill="1" applyBorder="1" applyAlignment="1">
      <alignment horizontal="center"/>
    </xf>
    <xf numFmtId="165" fontId="16" fillId="3" borderId="9" xfId="0" applyNumberFormat="1" applyFont="1" applyFill="1" applyBorder="1"/>
    <xf numFmtId="0" fontId="16" fillId="3" borderId="5" xfId="0" applyFont="1" applyFill="1" applyBorder="1" applyAlignment="1">
      <alignment horizontal="center"/>
    </xf>
    <xf numFmtId="165" fontId="16" fillId="3" borderId="6" xfId="0" applyNumberFormat="1" applyFont="1" applyFill="1" applyBorder="1"/>
    <xf numFmtId="165" fontId="1" fillId="3" borderId="12" xfId="0" applyNumberFormat="1" applyFont="1" applyFill="1" applyBorder="1" applyAlignment="1">
      <alignment horizontal="center"/>
    </xf>
    <xf numFmtId="165" fontId="1" fillId="3" borderId="9" xfId="0" applyNumberFormat="1" applyFont="1" applyFill="1" applyBorder="1" applyAlignment="1">
      <alignment horizontal="center"/>
    </xf>
    <xf numFmtId="165" fontId="1" fillId="3" borderId="6" xfId="0" applyNumberFormat="1" applyFont="1" applyFill="1" applyBorder="1" applyAlignment="1">
      <alignment horizontal="center"/>
    </xf>
    <xf numFmtId="165" fontId="16" fillId="3" borderId="9" xfId="0" applyNumberFormat="1" applyFont="1" applyFill="1" applyBorder="1" applyAlignment="1">
      <alignment horizontal="center"/>
    </xf>
    <xf numFmtId="165" fontId="16" fillId="3" borderId="6" xfId="0" applyNumberFormat="1" applyFont="1" applyFill="1" applyBorder="1" applyAlignment="1">
      <alignment horizontal="center"/>
    </xf>
    <xf numFmtId="0" fontId="18" fillId="2" borderId="1" xfId="0" applyFont="1" applyFill="1" applyBorder="1" applyAlignment="1">
      <alignment horizontal="center" wrapText="1"/>
    </xf>
    <xf numFmtId="0" fontId="16" fillId="4" borderId="7" xfId="0" applyFont="1" applyFill="1" applyBorder="1" applyAlignment="1">
      <alignment horizontal="center"/>
    </xf>
    <xf numFmtId="0" fontId="16" fillId="4" borderId="5" xfId="0" applyFont="1" applyFill="1" applyBorder="1" applyAlignment="1">
      <alignment horizontal="center"/>
    </xf>
    <xf numFmtId="0" fontId="9" fillId="2" borderId="3" xfId="0" applyFont="1" applyFill="1" applyBorder="1" applyAlignment="1">
      <alignment horizontal="center"/>
    </xf>
    <xf numFmtId="0" fontId="9" fillId="2" borderId="3" xfId="0" applyFont="1" applyFill="1" applyBorder="1"/>
    <xf numFmtId="3" fontId="9" fillId="2" borderId="2" xfId="0" applyNumberFormat="1" applyFont="1" applyFill="1" applyBorder="1" applyAlignment="1">
      <alignment horizontal="center"/>
    </xf>
    <xf numFmtId="165" fontId="9" fillId="2" borderId="4" xfId="0" applyNumberFormat="1" applyFont="1" applyFill="1" applyBorder="1" applyAlignment="1">
      <alignment horizontal="center"/>
    </xf>
    <xf numFmtId="165" fontId="9" fillId="2" borderId="4" xfId="0" applyNumberFormat="1" applyFont="1" applyFill="1" applyBorder="1"/>
    <xf numFmtId="0" fontId="18" fillId="2" borderId="3" xfId="0" applyFont="1" applyFill="1" applyBorder="1" applyAlignment="1">
      <alignment horizontal="center" wrapText="1"/>
    </xf>
    <xf numFmtId="0" fontId="18" fillId="2" borderId="4" xfId="0" applyFont="1" applyFill="1" applyBorder="1" applyAlignment="1">
      <alignment horizontal="center" wrapText="1"/>
    </xf>
    <xf numFmtId="0" fontId="1" fillId="3" borderId="7" xfId="0" applyFont="1" applyFill="1" applyBorder="1" applyAlignment="1">
      <alignment horizontal="center"/>
    </xf>
    <xf numFmtId="0" fontId="8" fillId="2" borderId="3" xfId="0" applyFont="1" applyFill="1" applyBorder="1" applyAlignment="1" applyProtection="1">
      <alignment horizontal="center" vertical="center"/>
    </xf>
    <xf numFmtId="0" fontId="8" fillId="2" borderId="1" xfId="0" applyFont="1" applyFill="1" applyBorder="1" applyAlignment="1" applyProtection="1">
      <alignment horizontal="center" vertical="center"/>
    </xf>
    <xf numFmtId="0" fontId="8" fillId="2" borderId="15" xfId="0" applyFont="1" applyFill="1" applyBorder="1" applyAlignment="1">
      <alignment horizontal="center" vertical="center"/>
    </xf>
    <xf numFmtId="0" fontId="1" fillId="3" borderId="5" xfId="0" applyFont="1" applyFill="1" applyBorder="1"/>
    <xf numFmtId="0" fontId="1" fillId="3" borderId="6" xfId="0" applyFont="1" applyFill="1" applyBorder="1"/>
    <xf numFmtId="0" fontId="1" fillId="3" borderId="5" xfId="0" applyFont="1" applyFill="1" applyBorder="1" applyAlignment="1">
      <alignment vertical="center"/>
    </xf>
    <xf numFmtId="165" fontId="0" fillId="3" borderId="10" xfId="0" applyNumberFormat="1" applyFill="1" applyBorder="1" applyAlignment="1" applyProtection="1">
      <alignment vertical="center"/>
    </xf>
    <xf numFmtId="165" fontId="0" fillId="3" borderId="11" xfId="0" applyNumberFormat="1" applyFill="1" applyBorder="1" applyAlignment="1" applyProtection="1">
      <alignment vertical="center"/>
    </xf>
    <xf numFmtId="165" fontId="0" fillId="3" borderId="12" xfId="0" applyNumberFormat="1" applyFill="1" applyBorder="1" applyAlignment="1" applyProtection="1">
      <alignment vertical="center"/>
    </xf>
    <xf numFmtId="0" fontId="5" fillId="0" borderId="0" xfId="0" applyFont="1" applyFill="1" applyBorder="1" applyAlignment="1">
      <alignment vertical="center"/>
    </xf>
    <xf numFmtId="0" fontId="1" fillId="0" borderId="0" xfId="0" applyFont="1" applyFill="1" applyBorder="1" applyAlignment="1">
      <alignment vertical="center"/>
    </xf>
    <xf numFmtId="0" fontId="1" fillId="7" borderId="13" xfId="0" applyFont="1" applyFill="1" applyBorder="1" applyAlignment="1">
      <alignment horizontal="left" vertical="top" wrapText="1"/>
    </xf>
    <xf numFmtId="0" fontId="1" fillId="7" borderId="14" xfId="0" applyNumberFormat="1" applyFont="1" applyFill="1" applyBorder="1" applyAlignment="1">
      <alignment horizontal="left" vertical="top" wrapText="1"/>
    </xf>
    <xf numFmtId="0" fontId="1" fillId="5" borderId="15" xfId="0" applyFont="1" applyFill="1" applyBorder="1" applyAlignment="1" applyProtection="1">
      <alignment horizontal="center"/>
      <protection locked="0"/>
    </xf>
    <xf numFmtId="0" fontId="1" fillId="5" borderId="14" xfId="0" applyFont="1" applyFill="1" applyBorder="1" applyAlignment="1" applyProtection="1">
      <alignment horizontal="center"/>
      <protection locked="0"/>
    </xf>
    <xf numFmtId="165" fontId="1" fillId="3" borderId="0" xfId="0" applyNumberFormat="1" applyFont="1" applyFill="1" applyBorder="1" applyAlignment="1">
      <alignment horizontal="center"/>
    </xf>
    <xf numFmtId="165" fontId="1" fillId="3" borderId="11" xfId="0" applyNumberFormat="1" applyFont="1" applyFill="1" applyBorder="1" applyAlignment="1">
      <alignment horizontal="center"/>
    </xf>
    <xf numFmtId="0" fontId="1" fillId="5" borderId="13" xfId="0" applyFont="1" applyFill="1" applyBorder="1" applyAlignment="1" applyProtection="1">
      <alignment horizontal="center"/>
      <protection locked="0"/>
    </xf>
    <xf numFmtId="0" fontId="1" fillId="5" borderId="7" xfId="0" applyFont="1" applyFill="1" applyBorder="1" applyAlignment="1" applyProtection="1">
      <alignment horizontal="center"/>
      <protection locked="0"/>
    </xf>
    <xf numFmtId="0" fontId="1" fillId="5" borderId="5" xfId="0" applyFont="1" applyFill="1" applyBorder="1" applyAlignment="1" applyProtection="1">
      <alignment horizontal="center"/>
      <protection locked="0"/>
    </xf>
    <xf numFmtId="0" fontId="1" fillId="5" borderId="10" xfId="0" applyFont="1" applyFill="1" applyBorder="1" applyAlignment="1" applyProtection="1">
      <alignment horizontal="center"/>
      <protection locked="0"/>
    </xf>
    <xf numFmtId="0" fontId="11" fillId="3" borderId="7" xfId="0" applyFont="1" applyFill="1" applyBorder="1" applyAlignment="1" applyProtection="1">
      <alignment horizontal="center" vertical="center"/>
    </xf>
    <xf numFmtId="0" fontId="11" fillId="3" borderId="2" xfId="0" applyFont="1" applyFill="1" applyBorder="1" applyAlignment="1" applyProtection="1">
      <alignment horizontal="center" vertical="center"/>
    </xf>
    <xf numFmtId="0" fontId="11" fillId="3" borderId="4" xfId="0" applyFont="1" applyFill="1" applyBorder="1" applyAlignment="1" applyProtection="1">
      <alignment horizontal="center" vertical="center"/>
    </xf>
    <xf numFmtId="0" fontId="8" fillId="2" borderId="3" xfId="0" applyFont="1" applyFill="1" applyBorder="1" applyAlignment="1" applyProtection="1">
      <alignment horizontal="center" vertical="center"/>
    </xf>
    <xf numFmtId="0" fontId="8" fillId="2" borderId="2"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7" xfId="0" applyFont="1" applyFill="1" applyBorder="1" applyAlignment="1" applyProtection="1">
      <alignment horizontal="center" vertical="center" textRotation="90"/>
    </xf>
    <xf numFmtId="0" fontId="8" fillId="2" borderId="5" xfId="0" applyFont="1" applyFill="1" applyBorder="1" applyAlignment="1" applyProtection="1">
      <alignment horizontal="center" vertical="center" textRotation="90"/>
    </xf>
    <xf numFmtId="0" fontId="8" fillId="2" borderId="14" xfId="0" applyFont="1" applyFill="1" applyBorder="1" applyAlignment="1" applyProtection="1">
      <alignment horizontal="center" vertical="center" textRotation="90"/>
    </xf>
    <xf numFmtId="0" fontId="8" fillId="2" borderId="13" xfId="0" applyFont="1" applyFill="1" applyBorder="1" applyAlignment="1" applyProtection="1">
      <alignment horizontal="center" vertical="center" textRotation="90"/>
    </xf>
    <xf numFmtId="0" fontId="8" fillId="2" borderId="15" xfId="0" applyFont="1" applyFill="1" applyBorder="1" applyAlignment="1" applyProtection="1">
      <alignment horizontal="center" vertical="center" textRotation="90"/>
    </xf>
    <xf numFmtId="0" fontId="24" fillId="3" borderId="7" xfId="0" applyFont="1" applyFill="1" applyBorder="1" applyAlignment="1" applyProtection="1">
      <alignment horizontal="center" vertical="center" wrapText="1"/>
    </xf>
    <xf numFmtId="0" fontId="24" fillId="3" borderId="8" xfId="0" applyFont="1" applyFill="1" applyBorder="1" applyAlignment="1" applyProtection="1">
      <alignment horizontal="center" vertical="center" wrapText="1"/>
    </xf>
    <xf numFmtId="0" fontId="24" fillId="3" borderId="5" xfId="0" applyFont="1" applyFill="1" applyBorder="1" applyAlignment="1" applyProtection="1">
      <alignment horizontal="center" vertical="center" wrapText="1"/>
    </xf>
    <xf numFmtId="0" fontId="24" fillId="3" borderId="0" xfId="0" applyFont="1" applyFill="1" applyBorder="1" applyAlignment="1" applyProtection="1">
      <alignment horizontal="center" vertical="center" wrapText="1"/>
    </xf>
    <xf numFmtId="0" fontId="2" fillId="6" borderId="7" xfId="0" applyFont="1" applyFill="1" applyBorder="1" applyAlignment="1" applyProtection="1">
      <alignment horizontal="center" vertical="center"/>
    </xf>
    <xf numFmtId="0" fontId="2" fillId="6" borderId="8" xfId="0" applyFont="1" applyFill="1" applyBorder="1" applyAlignment="1" applyProtection="1">
      <alignment horizontal="center" vertical="center"/>
    </xf>
    <xf numFmtId="0" fontId="2" fillId="6" borderId="9" xfId="0" applyFont="1" applyFill="1" applyBorder="1" applyAlignment="1" applyProtection="1">
      <alignment horizontal="center" vertical="center"/>
    </xf>
    <xf numFmtId="0" fontId="2" fillId="6" borderId="5" xfId="0" applyFont="1" applyFill="1" applyBorder="1" applyAlignment="1" applyProtection="1">
      <alignment horizontal="center" vertical="center"/>
    </xf>
    <xf numFmtId="0" fontId="2" fillId="6" borderId="0" xfId="0" applyFont="1" applyFill="1" applyBorder="1" applyAlignment="1" applyProtection="1">
      <alignment horizontal="center" vertical="center"/>
    </xf>
    <xf numFmtId="0" fontId="2" fillId="6" borderId="6" xfId="0" applyFont="1" applyFill="1" applyBorder="1" applyAlignment="1" applyProtection="1">
      <alignment horizontal="center" vertical="center"/>
    </xf>
    <xf numFmtId="0" fontId="2" fillId="6" borderId="10" xfId="0" applyFont="1" applyFill="1" applyBorder="1" applyAlignment="1" applyProtection="1">
      <alignment horizontal="center" vertical="center"/>
    </xf>
    <xf numFmtId="0" fontId="2" fillId="6" borderId="11" xfId="0" applyFont="1" applyFill="1" applyBorder="1" applyAlignment="1" applyProtection="1">
      <alignment horizontal="center" vertical="center"/>
    </xf>
    <xf numFmtId="0" fontId="2" fillId="6" borderId="12" xfId="0" applyFont="1" applyFill="1" applyBorder="1" applyAlignment="1" applyProtection="1">
      <alignment horizontal="center" vertical="center"/>
    </xf>
    <xf numFmtId="2" fontId="10" fillId="6" borderId="10" xfId="1" applyNumberFormat="1" applyFill="1" applyBorder="1" applyAlignment="1" applyProtection="1">
      <alignment horizontal="center" vertical="center"/>
      <protection locked="0"/>
    </xf>
    <xf numFmtId="2" fontId="10" fillId="6" borderId="11" xfId="1" applyNumberFormat="1" applyFill="1" applyBorder="1" applyAlignment="1" applyProtection="1">
      <alignment horizontal="center" vertical="center"/>
      <protection locked="0"/>
    </xf>
    <xf numFmtId="2" fontId="10" fillId="6" borderId="12" xfId="1" applyNumberFormat="1" applyFill="1" applyBorder="1" applyAlignment="1" applyProtection="1">
      <alignment horizontal="center" vertical="center"/>
      <protection locked="0"/>
    </xf>
    <xf numFmtId="164" fontId="8" fillId="2" borderId="7" xfId="0" applyNumberFormat="1" applyFont="1" applyFill="1" applyBorder="1" applyAlignment="1" applyProtection="1">
      <alignment horizontal="center" vertical="center"/>
    </xf>
    <xf numFmtId="164" fontId="8" fillId="2" borderId="9" xfId="0" applyNumberFormat="1" applyFont="1" applyFill="1" applyBorder="1" applyAlignment="1" applyProtection="1">
      <alignment horizontal="center" vertical="center"/>
    </xf>
    <xf numFmtId="0" fontId="7" fillId="4" borderId="7" xfId="0" applyFont="1" applyFill="1" applyBorder="1" applyAlignment="1" applyProtection="1">
      <alignment horizontal="center" vertical="center"/>
    </xf>
    <xf numFmtId="0" fontId="7" fillId="4" borderId="10" xfId="0" applyFont="1" applyFill="1" applyBorder="1" applyAlignment="1" applyProtection="1">
      <alignment horizontal="center" vertical="center"/>
    </xf>
    <xf numFmtId="2" fontId="10" fillId="6" borderId="7" xfId="1" applyNumberFormat="1" applyFill="1" applyBorder="1" applyAlignment="1" applyProtection="1">
      <alignment horizontal="center" vertical="center"/>
      <protection locked="0"/>
    </xf>
    <xf numFmtId="2" fontId="10" fillId="6" borderId="8" xfId="1" applyNumberFormat="1" applyFill="1" applyBorder="1" applyAlignment="1" applyProtection="1">
      <alignment horizontal="center" vertical="center"/>
      <protection locked="0"/>
    </xf>
    <xf numFmtId="2" fontId="10" fillId="6" borderId="9" xfId="1" applyNumberFormat="1" applyFill="1" applyBorder="1" applyAlignment="1" applyProtection="1">
      <alignment horizontal="center" vertical="center"/>
      <protection locked="0"/>
    </xf>
    <xf numFmtId="2" fontId="10" fillId="6" borderId="5" xfId="1" applyNumberFormat="1" applyFill="1" applyBorder="1" applyAlignment="1" applyProtection="1">
      <alignment horizontal="center" vertical="center"/>
      <protection locked="0"/>
    </xf>
    <xf numFmtId="2" fontId="10" fillId="6" borderId="0" xfId="1" applyNumberFormat="1" applyFill="1" applyBorder="1" applyAlignment="1" applyProtection="1">
      <alignment horizontal="center" vertical="center"/>
      <protection locked="0"/>
    </xf>
    <xf numFmtId="2" fontId="10" fillId="6" borderId="6" xfId="1" applyNumberFormat="1" applyFill="1" applyBorder="1" applyAlignment="1" applyProtection="1">
      <alignment horizontal="center" vertical="center"/>
      <protection locked="0"/>
    </xf>
    <xf numFmtId="164" fontId="13" fillId="3" borderId="0" xfId="0" applyNumberFormat="1" applyFont="1" applyFill="1" applyBorder="1" applyAlignment="1" applyProtection="1">
      <alignment horizontal="center" vertical="center"/>
    </xf>
    <xf numFmtId="164" fontId="13" fillId="3" borderId="6" xfId="0" applyNumberFormat="1" applyFont="1" applyFill="1" applyBorder="1" applyAlignment="1" applyProtection="1">
      <alignment horizontal="center" vertical="center"/>
    </xf>
    <xf numFmtId="2" fontId="10" fillId="3" borderId="3" xfId="1" applyNumberFormat="1" applyFill="1" applyBorder="1" applyAlignment="1" applyProtection="1">
      <alignment horizontal="center" vertical="center"/>
    </xf>
    <xf numFmtId="2" fontId="10" fillId="3" borderId="2" xfId="1" applyNumberFormat="1" applyFill="1" applyBorder="1" applyAlignment="1" applyProtection="1">
      <alignment horizontal="center" vertical="center"/>
    </xf>
    <xf numFmtId="2" fontId="10" fillId="3" borderId="4" xfId="1" applyNumberFormat="1" applyFill="1" applyBorder="1" applyAlignment="1" applyProtection="1">
      <alignment horizontal="center" vertical="center"/>
    </xf>
    <xf numFmtId="0" fontId="7" fillId="4" borderId="13" xfId="0" applyFont="1" applyFill="1" applyBorder="1" applyAlignment="1" applyProtection="1">
      <alignment horizontal="right" vertical="center"/>
    </xf>
    <xf numFmtId="0" fontId="7" fillId="4" borderId="15" xfId="0" applyFont="1" applyFill="1" applyBorder="1" applyAlignment="1" applyProtection="1">
      <alignment horizontal="right" vertical="center"/>
    </xf>
    <xf numFmtId="0" fontId="14" fillId="3" borderId="5" xfId="0" applyFont="1" applyFill="1" applyBorder="1" applyAlignment="1" applyProtection="1">
      <alignment horizontal="center" vertical="center"/>
    </xf>
    <xf numFmtId="0" fontId="14" fillId="3" borderId="0" xfId="0" applyFont="1" applyFill="1" applyBorder="1" applyAlignment="1" applyProtection="1">
      <alignment horizontal="center" vertical="center"/>
    </xf>
    <xf numFmtId="0" fontId="14" fillId="3" borderId="6" xfId="0" applyFont="1" applyFill="1" applyBorder="1" applyAlignment="1" applyProtection="1">
      <alignment horizontal="center" vertical="center"/>
    </xf>
    <xf numFmtId="0" fontId="9" fillId="2" borderId="3" xfId="0" applyFont="1" applyFill="1" applyBorder="1" applyAlignment="1" applyProtection="1">
      <alignment horizontal="right" vertical="center"/>
    </xf>
    <xf numFmtId="0" fontId="9" fillId="2" borderId="4" xfId="0" applyFont="1" applyFill="1" applyBorder="1" applyAlignment="1" applyProtection="1">
      <alignment horizontal="right" vertical="center"/>
    </xf>
    <xf numFmtId="0" fontId="9" fillId="2" borderId="2" xfId="0" applyFont="1" applyFill="1" applyBorder="1" applyAlignment="1" applyProtection="1">
      <alignment horizontal="right" vertical="center"/>
    </xf>
    <xf numFmtId="0" fontId="9" fillId="2" borderId="1" xfId="0" applyFont="1" applyFill="1" applyBorder="1" applyAlignment="1" applyProtection="1">
      <alignment horizontal="right" vertical="center"/>
    </xf>
    <xf numFmtId="0" fontId="7" fillId="4" borderId="14" xfId="0" applyFont="1" applyFill="1" applyBorder="1" applyAlignment="1" applyProtection="1">
      <alignment horizontal="right" vertical="center"/>
    </xf>
    <xf numFmtId="0" fontId="11" fillId="3" borderId="3" xfId="0" applyFont="1" applyFill="1" applyBorder="1" applyAlignment="1" applyProtection="1">
      <alignment horizontal="center" vertical="center"/>
    </xf>
    <xf numFmtId="0" fontId="8" fillId="2" borderId="1" xfId="0" applyFont="1" applyFill="1" applyBorder="1" applyAlignment="1" applyProtection="1">
      <alignment horizontal="center" vertical="center"/>
    </xf>
    <xf numFmtId="0" fontId="8" fillId="2" borderId="14"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9" xfId="0" applyFont="1" applyFill="1" applyBorder="1" applyAlignment="1">
      <alignment horizontal="center" vertical="center"/>
    </xf>
    <xf numFmtId="0" fontId="9" fillId="2" borderId="3" xfId="0" applyFont="1" applyFill="1" applyBorder="1" applyAlignment="1">
      <alignment horizontal="right" vertical="center"/>
    </xf>
    <xf numFmtId="0" fontId="9" fillId="2" borderId="4" xfId="0" applyFont="1" applyFill="1" applyBorder="1" applyAlignment="1">
      <alignment horizontal="right" vertical="center"/>
    </xf>
    <xf numFmtId="0" fontId="25" fillId="3" borderId="10" xfId="0" applyFont="1" applyFill="1" applyBorder="1" applyAlignment="1">
      <alignment horizontal="center" vertical="center"/>
    </xf>
    <xf numFmtId="0" fontId="25" fillId="3" borderId="11" xfId="0" applyFont="1" applyFill="1" applyBorder="1" applyAlignment="1">
      <alignment horizontal="center" vertical="center"/>
    </xf>
    <xf numFmtId="0" fontId="25" fillId="3" borderId="12" xfId="0" applyFont="1" applyFill="1" applyBorder="1" applyAlignment="1">
      <alignment horizontal="center" vertical="center"/>
    </xf>
    <xf numFmtId="165" fontId="10" fillId="6" borderId="3" xfId="1" applyNumberFormat="1" applyFill="1" applyBorder="1" applyAlignment="1" applyProtection="1">
      <alignment horizontal="center" vertical="center"/>
      <protection locked="0"/>
    </xf>
    <xf numFmtId="165" fontId="10" fillId="6" borderId="2" xfId="1" applyNumberFormat="1" applyFill="1" applyBorder="1" applyAlignment="1" applyProtection="1">
      <alignment horizontal="center" vertical="center"/>
      <protection locked="0"/>
    </xf>
    <xf numFmtId="165" fontId="10" fillId="6" borderId="4" xfId="1" applyNumberFormat="1" applyFill="1" applyBorder="1" applyAlignment="1" applyProtection="1">
      <alignment horizontal="center" vertical="center"/>
      <protection locked="0"/>
    </xf>
    <xf numFmtId="165" fontId="8" fillId="2" borderId="3" xfId="0" applyNumberFormat="1" applyFont="1" applyFill="1" applyBorder="1" applyAlignment="1" applyProtection="1">
      <alignment horizontal="center" vertical="center"/>
    </xf>
    <xf numFmtId="165" fontId="8" fillId="2" borderId="2" xfId="0" applyNumberFormat="1" applyFont="1" applyFill="1" applyBorder="1" applyAlignment="1" applyProtection="1">
      <alignment horizontal="center" vertical="center"/>
    </xf>
    <xf numFmtId="165" fontId="8" fillId="2" borderId="4" xfId="0" applyNumberFormat="1" applyFont="1" applyFill="1" applyBorder="1" applyAlignment="1" applyProtection="1">
      <alignment horizontal="center" vertical="center"/>
    </xf>
    <xf numFmtId="165" fontId="18" fillId="2" borderId="3" xfId="0" applyNumberFormat="1" applyFont="1" applyFill="1" applyBorder="1" applyAlignment="1" applyProtection="1">
      <alignment horizontal="center" vertical="center"/>
    </xf>
    <xf numFmtId="165" fontId="18" fillId="2" borderId="2" xfId="0" applyNumberFormat="1" applyFont="1" applyFill="1" applyBorder="1" applyAlignment="1" applyProtection="1">
      <alignment horizontal="center" vertical="center"/>
    </xf>
    <xf numFmtId="165" fontId="18" fillId="2" borderId="4" xfId="0" applyNumberFormat="1" applyFont="1" applyFill="1" applyBorder="1" applyAlignment="1" applyProtection="1">
      <alignment horizontal="center" vertical="center"/>
    </xf>
    <xf numFmtId="0" fontId="19" fillId="3" borderId="7" xfId="0" applyFont="1" applyFill="1" applyBorder="1" applyAlignment="1">
      <alignment horizontal="center" vertical="center"/>
    </xf>
    <xf numFmtId="0" fontId="19" fillId="3" borderId="8" xfId="0" applyFont="1" applyFill="1" applyBorder="1" applyAlignment="1">
      <alignment horizontal="center" vertical="center"/>
    </xf>
    <xf numFmtId="0" fontId="19" fillId="3" borderId="9" xfId="0" applyFont="1" applyFill="1" applyBorder="1" applyAlignment="1">
      <alignment horizontal="center" vertical="center"/>
    </xf>
    <xf numFmtId="0" fontId="20" fillId="2" borderId="3" xfId="0" applyFont="1" applyFill="1" applyBorder="1" applyAlignment="1">
      <alignment horizontal="center"/>
    </xf>
    <xf numFmtId="0" fontId="20" fillId="2" borderId="2" xfId="0" applyFont="1" applyFill="1" applyBorder="1" applyAlignment="1">
      <alignment horizontal="center"/>
    </xf>
    <xf numFmtId="165" fontId="22" fillId="3" borderId="10" xfId="0" applyNumberFormat="1" applyFont="1" applyFill="1" applyBorder="1" applyAlignment="1">
      <alignment horizontal="center"/>
    </xf>
    <xf numFmtId="165" fontId="22" fillId="3" borderId="11" xfId="0" applyNumberFormat="1" applyFont="1" applyFill="1" applyBorder="1" applyAlignment="1">
      <alignment horizontal="center"/>
    </xf>
    <xf numFmtId="0" fontId="23" fillId="2" borderId="2" xfId="0" applyFont="1" applyFill="1" applyBorder="1" applyAlignment="1">
      <alignment horizontal="center"/>
    </xf>
    <xf numFmtId="0" fontId="23" fillId="2" borderId="4" xfId="0" applyFont="1" applyFill="1" applyBorder="1" applyAlignment="1">
      <alignment horizontal="center"/>
    </xf>
    <xf numFmtId="165" fontId="21" fillId="3" borderId="11" xfId="0" applyNumberFormat="1" applyFont="1" applyFill="1" applyBorder="1" applyAlignment="1">
      <alignment horizontal="center"/>
    </xf>
    <xf numFmtId="165" fontId="21" fillId="3" borderId="12" xfId="0" applyNumberFormat="1" applyFont="1" applyFill="1" applyBorder="1" applyAlignment="1">
      <alignment horizontal="center"/>
    </xf>
    <xf numFmtId="0" fontId="20" fillId="2" borderId="4" xfId="0" applyFont="1" applyFill="1" applyBorder="1" applyAlignment="1">
      <alignment horizontal="center"/>
    </xf>
    <xf numFmtId="0" fontId="22" fillId="3" borderId="10" xfId="0" applyFont="1" applyFill="1" applyBorder="1" applyAlignment="1">
      <alignment horizontal="center"/>
    </xf>
    <xf numFmtId="0" fontId="22" fillId="3" borderId="11" xfId="0" applyFont="1" applyFill="1" applyBorder="1" applyAlignment="1">
      <alignment horizontal="center"/>
    </xf>
    <xf numFmtId="0" fontId="22" fillId="3" borderId="12" xfId="0" applyFont="1" applyFill="1" applyBorder="1" applyAlignment="1">
      <alignment horizontal="center"/>
    </xf>
    <xf numFmtId="0" fontId="1" fillId="8" borderId="1" xfId="0" applyFont="1" applyFill="1" applyBorder="1" applyAlignment="1" applyProtection="1">
      <alignment horizontal="center" vertical="center"/>
      <protection locked="0"/>
    </xf>
  </cellXfs>
  <cellStyles count="4">
    <cellStyle name="Comma" xfId="2" builtinId="3"/>
    <cellStyle name="Currency" xfId="3" builtinId="4"/>
    <cellStyle name="Hyperlink" xfId="1" builtinId="8"/>
    <cellStyle name="Normal" xfId="0" builtinId="0"/>
  </cellStyles>
  <dxfs count="1">
    <dxf>
      <font>
        <b/>
        <i/>
        <color rgb="FFFFFF00"/>
      </font>
    </dxf>
  </dxfs>
  <tableStyles count="0" defaultTableStyle="TableStyleMedium9" defaultPivotStyle="PivotStyleLight16"/>
  <colors>
    <mruColors>
      <color rgb="FFF61AE6"/>
      <color rgb="FF20FB15"/>
      <color rgb="FF333300"/>
      <color rgb="FFFFFFCC"/>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3" Type="http://schemas.openxmlformats.org/officeDocument/2006/relationships/worksheet" Target="worksheets/sheet3.xml"/><Relationship Id="rId7" Type="http://schemas.openxmlformats.org/officeDocument/2006/relationships/chartsheet" Target="chartsheets/sheet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c:lang val="en-US"/>
  <c:protection/>
  <c:chart>
    <c:title>
      <c:tx>
        <c:rich>
          <a:bodyPr/>
          <a:lstStyle/>
          <a:p>
            <a:pPr>
              <a:defRPr/>
            </a:pPr>
            <a:r>
              <a:rPr lang="en-US"/>
              <a:t>Analysis of NPAP and PEP Audit</a:t>
            </a:r>
            <a:r>
              <a:rPr lang="en-US" baseline="0"/>
              <a:t> Costs</a:t>
            </a:r>
            <a:endParaRPr lang="en-US"/>
          </a:p>
        </c:rich>
      </c:tx>
      <c:overlay val="1"/>
    </c:title>
    <c:plotArea>
      <c:layout>
        <c:manualLayout>
          <c:layoutTarget val="inner"/>
          <c:xMode val="edge"/>
          <c:yMode val="edge"/>
          <c:x val="6.6747654176727719E-2"/>
          <c:y val="8.104815718411193E-2"/>
          <c:w val="0.91705764681136448"/>
          <c:h val="0.85330723082625037"/>
        </c:manualLayout>
      </c:layout>
      <c:lineChart>
        <c:grouping val="standard"/>
        <c:ser>
          <c:idx val="0"/>
          <c:order val="0"/>
          <c:tx>
            <c:strRef>
              <c:f>'Lookup Table'!$F$1</c:f>
              <c:strCache>
                <c:ptCount val="1"/>
                <c:pt idx="0">
                  <c:v>$NPAP</c:v>
                </c:pt>
              </c:strCache>
            </c:strRef>
          </c:tx>
          <c:marker>
            <c:symbol val="none"/>
          </c:marker>
          <c:cat>
            <c:numRef>
              <c:f>'Lookup Table'!$E$2:$E$52</c:f>
              <c:numCache>
                <c:formatCode>General</c:formatCode>
                <c:ptCount val="5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numCache>
            </c:numRef>
          </c:cat>
          <c:val>
            <c:numRef>
              <c:f>'Lookup Table'!$F$2:$F$52</c:f>
              <c:numCache>
                <c:formatCode>General</c:formatCode>
                <c:ptCount val="51"/>
                <c:pt idx="0">
                  <c:v>0</c:v>
                </c:pt>
                <c:pt idx="1">
                  <c:v>2200</c:v>
                </c:pt>
                <c:pt idx="2">
                  <c:v>2200</c:v>
                </c:pt>
                <c:pt idx="3">
                  <c:v>2200</c:v>
                </c:pt>
                <c:pt idx="4">
                  <c:v>2200</c:v>
                </c:pt>
                <c:pt idx="5">
                  <c:v>2200</c:v>
                </c:pt>
                <c:pt idx="6">
                  <c:v>4400</c:v>
                </c:pt>
                <c:pt idx="7">
                  <c:v>4400</c:v>
                </c:pt>
                <c:pt idx="8">
                  <c:v>4400</c:v>
                </c:pt>
                <c:pt idx="9">
                  <c:v>4400</c:v>
                </c:pt>
                <c:pt idx="10">
                  <c:v>4400</c:v>
                </c:pt>
                <c:pt idx="11">
                  <c:v>6600</c:v>
                </c:pt>
                <c:pt idx="12">
                  <c:v>6600</c:v>
                </c:pt>
                <c:pt idx="13">
                  <c:v>6600</c:v>
                </c:pt>
                <c:pt idx="14">
                  <c:v>6600</c:v>
                </c:pt>
                <c:pt idx="15">
                  <c:v>6600</c:v>
                </c:pt>
                <c:pt idx="16">
                  <c:v>8800</c:v>
                </c:pt>
                <c:pt idx="17">
                  <c:v>8800</c:v>
                </c:pt>
                <c:pt idx="18">
                  <c:v>8800</c:v>
                </c:pt>
                <c:pt idx="19">
                  <c:v>8800</c:v>
                </c:pt>
                <c:pt idx="20">
                  <c:v>8800</c:v>
                </c:pt>
                <c:pt idx="21">
                  <c:v>11000</c:v>
                </c:pt>
                <c:pt idx="22">
                  <c:v>11000</c:v>
                </c:pt>
                <c:pt idx="23">
                  <c:v>11000</c:v>
                </c:pt>
                <c:pt idx="24">
                  <c:v>11000</c:v>
                </c:pt>
                <c:pt idx="25">
                  <c:v>11000</c:v>
                </c:pt>
                <c:pt idx="26">
                  <c:v>13200</c:v>
                </c:pt>
                <c:pt idx="27">
                  <c:v>13200</c:v>
                </c:pt>
                <c:pt idx="28">
                  <c:v>13200</c:v>
                </c:pt>
                <c:pt idx="29">
                  <c:v>13200</c:v>
                </c:pt>
                <c:pt idx="30">
                  <c:v>13200</c:v>
                </c:pt>
                <c:pt idx="31">
                  <c:v>15400</c:v>
                </c:pt>
                <c:pt idx="32">
                  <c:v>15400</c:v>
                </c:pt>
                <c:pt idx="33">
                  <c:v>15400</c:v>
                </c:pt>
                <c:pt idx="34">
                  <c:v>15400</c:v>
                </c:pt>
                <c:pt idx="35">
                  <c:v>15400</c:v>
                </c:pt>
                <c:pt idx="36">
                  <c:v>17600</c:v>
                </c:pt>
                <c:pt idx="37">
                  <c:v>17600</c:v>
                </c:pt>
                <c:pt idx="38">
                  <c:v>17600</c:v>
                </c:pt>
                <c:pt idx="39">
                  <c:v>17600</c:v>
                </c:pt>
                <c:pt idx="40">
                  <c:v>17600</c:v>
                </c:pt>
                <c:pt idx="41">
                  <c:v>19800</c:v>
                </c:pt>
                <c:pt idx="42">
                  <c:v>19800</c:v>
                </c:pt>
                <c:pt idx="43">
                  <c:v>19800</c:v>
                </c:pt>
                <c:pt idx="44">
                  <c:v>19800</c:v>
                </c:pt>
                <c:pt idx="45">
                  <c:v>19800</c:v>
                </c:pt>
                <c:pt idx="46">
                  <c:v>22000</c:v>
                </c:pt>
                <c:pt idx="47">
                  <c:v>22000</c:v>
                </c:pt>
                <c:pt idx="48">
                  <c:v>22000</c:v>
                </c:pt>
                <c:pt idx="49">
                  <c:v>22000</c:v>
                </c:pt>
                <c:pt idx="50">
                  <c:v>22000</c:v>
                </c:pt>
              </c:numCache>
            </c:numRef>
          </c:val>
        </c:ser>
        <c:ser>
          <c:idx val="1"/>
          <c:order val="1"/>
          <c:tx>
            <c:strRef>
              <c:f>'Lookup Table'!$G$1</c:f>
              <c:strCache>
                <c:ptCount val="1"/>
                <c:pt idx="0">
                  <c:v>$PEP</c:v>
                </c:pt>
              </c:strCache>
            </c:strRef>
          </c:tx>
          <c:marker>
            <c:symbol val="none"/>
          </c:marker>
          <c:cat>
            <c:numRef>
              <c:f>'Lookup Table'!$E$2:$E$52</c:f>
              <c:numCache>
                <c:formatCode>General</c:formatCode>
                <c:ptCount val="5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numCache>
            </c:numRef>
          </c:cat>
          <c:val>
            <c:numRef>
              <c:f>'Lookup Table'!$G$2:$G$52</c:f>
              <c:numCache>
                <c:formatCode>General</c:formatCode>
                <c:ptCount val="51"/>
                <c:pt idx="0">
                  <c:v>0</c:v>
                </c:pt>
                <c:pt idx="1">
                  <c:v>10000</c:v>
                </c:pt>
                <c:pt idx="2">
                  <c:v>10000</c:v>
                </c:pt>
                <c:pt idx="3">
                  <c:v>10000</c:v>
                </c:pt>
                <c:pt idx="4">
                  <c:v>10000</c:v>
                </c:pt>
                <c:pt idx="5">
                  <c:v>10000</c:v>
                </c:pt>
                <c:pt idx="6">
                  <c:v>16000</c:v>
                </c:pt>
                <c:pt idx="7">
                  <c:v>16000</c:v>
                </c:pt>
                <c:pt idx="8">
                  <c:v>16000</c:v>
                </c:pt>
                <c:pt idx="9">
                  <c:v>16000</c:v>
                </c:pt>
                <c:pt idx="10">
                  <c:v>16000</c:v>
                </c:pt>
                <c:pt idx="11">
                  <c:v>16000</c:v>
                </c:pt>
                <c:pt idx="12">
                  <c:v>16000</c:v>
                </c:pt>
                <c:pt idx="13">
                  <c:v>16000</c:v>
                </c:pt>
                <c:pt idx="14">
                  <c:v>16000</c:v>
                </c:pt>
                <c:pt idx="15">
                  <c:v>16000</c:v>
                </c:pt>
                <c:pt idx="16">
                  <c:v>16000</c:v>
                </c:pt>
                <c:pt idx="17">
                  <c:v>16000</c:v>
                </c:pt>
                <c:pt idx="18">
                  <c:v>16000</c:v>
                </c:pt>
                <c:pt idx="19">
                  <c:v>16000</c:v>
                </c:pt>
                <c:pt idx="20">
                  <c:v>16000</c:v>
                </c:pt>
                <c:pt idx="21">
                  <c:v>16000</c:v>
                </c:pt>
                <c:pt idx="22">
                  <c:v>16000</c:v>
                </c:pt>
                <c:pt idx="23">
                  <c:v>16000</c:v>
                </c:pt>
                <c:pt idx="24">
                  <c:v>16000</c:v>
                </c:pt>
                <c:pt idx="25">
                  <c:v>16000</c:v>
                </c:pt>
                <c:pt idx="26">
                  <c:v>16000</c:v>
                </c:pt>
                <c:pt idx="27">
                  <c:v>16000</c:v>
                </c:pt>
                <c:pt idx="28">
                  <c:v>16000</c:v>
                </c:pt>
                <c:pt idx="29">
                  <c:v>16000</c:v>
                </c:pt>
                <c:pt idx="30">
                  <c:v>16000</c:v>
                </c:pt>
                <c:pt idx="31">
                  <c:v>16000</c:v>
                </c:pt>
                <c:pt idx="32">
                  <c:v>16000</c:v>
                </c:pt>
                <c:pt idx="33">
                  <c:v>16000</c:v>
                </c:pt>
                <c:pt idx="34">
                  <c:v>16000</c:v>
                </c:pt>
                <c:pt idx="35">
                  <c:v>16000</c:v>
                </c:pt>
                <c:pt idx="36">
                  <c:v>16000</c:v>
                </c:pt>
                <c:pt idx="37">
                  <c:v>16000</c:v>
                </c:pt>
                <c:pt idx="38">
                  <c:v>16000</c:v>
                </c:pt>
                <c:pt idx="39">
                  <c:v>16000</c:v>
                </c:pt>
                <c:pt idx="40">
                  <c:v>16000</c:v>
                </c:pt>
                <c:pt idx="41">
                  <c:v>16000</c:v>
                </c:pt>
                <c:pt idx="42">
                  <c:v>16000</c:v>
                </c:pt>
                <c:pt idx="43">
                  <c:v>16000</c:v>
                </c:pt>
                <c:pt idx="44">
                  <c:v>16000</c:v>
                </c:pt>
                <c:pt idx="45">
                  <c:v>16000</c:v>
                </c:pt>
                <c:pt idx="46">
                  <c:v>16000</c:v>
                </c:pt>
                <c:pt idx="47">
                  <c:v>16000</c:v>
                </c:pt>
                <c:pt idx="48">
                  <c:v>16000</c:v>
                </c:pt>
                <c:pt idx="49">
                  <c:v>18000</c:v>
                </c:pt>
                <c:pt idx="50">
                  <c:v>18000</c:v>
                </c:pt>
              </c:numCache>
            </c:numRef>
          </c:val>
        </c:ser>
        <c:ser>
          <c:idx val="2"/>
          <c:order val="2"/>
          <c:tx>
            <c:strRef>
              <c:f>'Lookup Table'!$H$1</c:f>
              <c:strCache>
                <c:ptCount val="1"/>
                <c:pt idx="0">
                  <c:v>$Total</c:v>
                </c:pt>
              </c:strCache>
            </c:strRef>
          </c:tx>
          <c:marker>
            <c:symbol val="none"/>
          </c:marker>
          <c:cat>
            <c:numRef>
              <c:f>'Lookup Table'!$E$2:$E$52</c:f>
              <c:numCache>
                <c:formatCode>General</c:formatCode>
                <c:ptCount val="5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numCache>
            </c:numRef>
          </c:cat>
          <c:val>
            <c:numRef>
              <c:f>'Lookup Table'!$H$2:$H$52</c:f>
              <c:numCache>
                <c:formatCode>General</c:formatCode>
                <c:ptCount val="51"/>
                <c:pt idx="0">
                  <c:v>0</c:v>
                </c:pt>
                <c:pt idx="1">
                  <c:v>12200</c:v>
                </c:pt>
                <c:pt idx="2">
                  <c:v>12200</c:v>
                </c:pt>
                <c:pt idx="3">
                  <c:v>12200</c:v>
                </c:pt>
                <c:pt idx="4">
                  <c:v>12200</c:v>
                </c:pt>
                <c:pt idx="5">
                  <c:v>12200</c:v>
                </c:pt>
                <c:pt idx="6">
                  <c:v>20400</c:v>
                </c:pt>
                <c:pt idx="7">
                  <c:v>20400</c:v>
                </c:pt>
                <c:pt idx="8">
                  <c:v>20400</c:v>
                </c:pt>
                <c:pt idx="9">
                  <c:v>20400</c:v>
                </c:pt>
                <c:pt idx="10">
                  <c:v>20400</c:v>
                </c:pt>
                <c:pt idx="11">
                  <c:v>22600</c:v>
                </c:pt>
                <c:pt idx="12">
                  <c:v>22600</c:v>
                </c:pt>
                <c:pt idx="13">
                  <c:v>22600</c:v>
                </c:pt>
                <c:pt idx="14">
                  <c:v>22600</c:v>
                </c:pt>
                <c:pt idx="15">
                  <c:v>22600</c:v>
                </c:pt>
                <c:pt idx="16">
                  <c:v>24800</c:v>
                </c:pt>
                <c:pt idx="17">
                  <c:v>24800</c:v>
                </c:pt>
                <c:pt idx="18">
                  <c:v>24800</c:v>
                </c:pt>
                <c:pt idx="19">
                  <c:v>24800</c:v>
                </c:pt>
                <c:pt idx="20">
                  <c:v>24800</c:v>
                </c:pt>
                <c:pt idx="21">
                  <c:v>27000</c:v>
                </c:pt>
                <c:pt idx="22">
                  <c:v>27000</c:v>
                </c:pt>
                <c:pt idx="23">
                  <c:v>27000</c:v>
                </c:pt>
                <c:pt idx="24">
                  <c:v>27000</c:v>
                </c:pt>
                <c:pt idx="25">
                  <c:v>27000</c:v>
                </c:pt>
                <c:pt idx="26">
                  <c:v>29200</c:v>
                </c:pt>
                <c:pt idx="27">
                  <c:v>29200</c:v>
                </c:pt>
                <c:pt idx="28">
                  <c:v>29200</c:v>
                </c:pt>
                <c:pt idx="29">
                  <c:v>29200</c:v>
                </c:pt>
                <c:pt idx="30">
                  <c:v>29200</c:v>
                </c:pt>
                <c:pt idx="31">
                  <c:v>31400</c:v>
                </c:pt>
                <c:pt idx="32">
                  <c:v>31400</c:v>
                </c:pt>
                <c:pt idx="33">
                  <c:v>31400</c:v>
                </c:pt>
                <c:pt idx="34">
                  <c:v>31400</c:v>
                </c:pt>
                <c:pt idx="35">
                  <c:v>31400</c:v>
                </c:pt>
                <c:pt idx="36">
                  <c:v>33600</c:v>
                </c:pt>
                <c:pt idx="37">
                  <c:v>33600</c:v>
                </c:pt>
                <c:pt idx="38">
                  <c:v>33600</c:v>
                </c:pt>
                <c:pt idx="39">
                  <c:v>33600</c:v>
                </c:pt>
                <c:pt idx="40">
                  <c:v>33600</c:v>
                </c:pt>
                <c:pt idx="41">
                  <c:v>35800</c:v>
                </c:pt>
                <c:pt idx="42">
                  <c:v>35800</c:v>
                </c:pt>
                <c:pt idx="43">
                  <c:v>35800</c:v>
                </c:pt>
                <c:pt idx="44">
                  <c:v>35800</c:v>
                </c:pt>
                <c:pt idx="45">
                  <c:v>35800</c:v>
                </c:pt>
                <c:pt idx="46">
                  <c:v>38000</c:v>
                </c:pt>
                <c:pt idx="47">
                  <c:v>38000</c:v>
                </c:pt>
                <c:pt idx="48">
                  <c:v>38000</c:v>
                </c:pt>
                <c:pt idx="49">
                  <c:v>40000</c:v>
                </c:pt>
                <c:pt idx="50">
                  <c:v>40000</c:v>
                </c:pt>
              </c:numCache>
            </c:numRef>
          </c:val>
        </c:ser>
        <c:ser>
          <c:idx val="3"/>
          <c:order val="3"/>
          <c:tx>
            <c:strRef>
              <c:f>'Lookup Table'!$I$1</c:f>
              <c:strCache>
                <c:ptCount val="1"/>
                <c:pt idx="0">
                  <c:v>$/site</c:v>
                </c:pt>
              </c:strCache>
            </c:strRef>
          </c:tx>
          <c:marker>
            <c:symbol val="none"/>
          </c:marker>
          <c:cat>
            <c:numRef>
              <c:f>'Lookup Table'!$E$2:$E$52</c:f>
              <c:numCache>
                <c:formatCode>General</c:formatCode>
                <c:ptCount val="5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numCache>
            </c:numRef>
          </c:cat>
          <c:val>
            <c:numRef>
              <c:f>'Lookup Table'!$I$2:$I$52</c:f>
              <c:numCache>
                <c:formatCode>0</c:formatCode>
                <c:ptCount val="51"/>
                <c:pt idx="0">
                  <c:v>0</c:v>
                </c:pt>
                <c:pt idx="1">
                  <c:v>10000</c:v>
                </c:pt>
                <c:pt idx="2">
                  <c:v>5000</c:v>
                </c:pt>
                <c:pt idx="3">
                  <c:v>3333.3333333333335</c:v>
                </c:pt>
                <c:pt idx="4">
                  <c:v>2500</c:v>
                </c:pt>
                <c:pt idx="5">
                  <c:v>2000</c:v>
                </c:pt>
                <c:pt idx="6">
                  <c:v>2666.6666666666665</c:v>
                </c:pt>
                <c:pt idx="7">
                  <c:v>2285.7142857142858</c:v>
                </c:pt>
                <c:pt idx="8">
                  <c:v>2000</c:v>
                </c:pt>
                <c:pt idx="9">
                  <c:v>1777.7777777777778</c:v>
                </c:pt>
                <c:pt idx="10">
                  <c:v>1600</c:v>
                </c:pt>
                <c:pt idx="11">
                  <c:v>1454.5454545454545</c:v>
                </c:pt>
                <c:pt idx="12">
                  <c:v>1333.3333333333333</c:v>
                </c:pt>
                <c:pt idx="13">
                  <c:v>1230.7692307692307</c:v>
                </c:pt>
                <c:pt idx="14">
                  <c:v>1142.8571428571429</c:v>
                </c:pt>
                <c:pt idx="15">
                  <c:v>1066.6666666666667</c:v>
                </c:pt>
                <c:pt idx="16">
                  <c:v>1000</c:v>
                </c:pt>
                <c:pt idx="17">
                  <c:v>941.17647058823525</c:v>
                </c:pt>
                <c:pt idx="18">
                  <c:v>888.88888888888891</c:v>
                </c:pt>
                <c:pt idx="19">
                  <c:v>842.10526315789468</c:v>
                </c:pt>
                <c:pt idx="20">
                  <c:v>800</c:v>
                </c:pt>
                <c:pt idx="21">
                  <c:v>761.90476190476193</c:v>
                </c:pt>
                <c:pt idx="22">
                  <c:v>727.27272727272725</c:v>
                </c:pt>
                <c:pt idx="23">
                  <c:v>695.6521739130435</c:v>
                </c:pt>
                <c:pt idx="24">
                  <c:v>666.66666666666663</c:v>
                </c:pt>
                <c:pt idx="25">
                  <c:v>640</c:v>
                </c:pt>
                <c:pt idx="26">
                  <c:v>615.38461538461536</c:v>
                </c:pt>
                <c:pt idx="27">
                  <c:v>592.59259259259261</c:v>
                </c:pt>
                <c:pt idx="28">
                  <c:v>571.42857142857144</c:v>
                </c:pt>
                <c:pt idx="29">
                  <c:v>551.72413793103453</c:v>
                </c:pt>
                <c:pt idx="30">
                  <c:v>533.33333333333337</c:v>
                </c:pt>
                <c:pt idx="31">
                  <c:v>516.12903225806451</c:v>
                </c:pt>
                <c:pt idx="32">
                  <c:v>500</c:v>
                </c:pt>
                <c:pt idx="33">
                  <c:v>484.84848484848487</c:v>
                </c:pt>
                <c:pt idx="34">
                  <c:v>470.58823529411762</c:v>
                </c:pt>
                <c:pt idx="35">
                  <c:v>457.14285714285717</c:v>
                </c:pt>
                <c:pt idx="36">
                  <c:v>444.44444444444446</c:v>
                </c:pt>
                <c:pt idx="37">
                  <c:v>432.43243243243245</c:v>
                </c:pt>
                <c:pt idx="38">
                  <c:v>421.05263157894734</c:v>
                </c:pt>
                <c:pt idx="39">
                  <c:v>410.25641025641028</c:v>
                </c:pt>
                <c:pt idx="40">
                  <c:v>400</c:v>
                </c:pt>
                <c:pt idx="41">
                  <c:v>390.2439024390244</c:v>
                </c:pt>
                <c:pt idx="42">
                  <c:v>380.95238095238096</c:v>
                </c:pt>
                <c:pt idx="43">
                  <c:v>372.09302325581393</c:v>
                </c:pt>
                <c:pt idx="44">
                  <c:v>363.63636363636363</c:v>
                </c:pt>
                <c:pt idx="45">
                  <c:v>355.55555555555554</c:v>
                </c:pt>
                <c:pt idx="46">
                  <c:v>347.82608695652175</c:v>
                </c:pt>
                <c:pt idx="47">
                  <c:v>340.42553191489361</c:v>
                </c:pt>
                <c:pt idx="48">
                  <c:v>333.33333333333331</c:v>
                </c:pt>
                <c:pt idx="49">
                  <c:v>367.34693877551018</c:v>
                </c:pt>
                <c:pt idx="50">
                  <c:v>360</c:v>
                </c:pt>
              </c:numCache>
            </c:numRef>
          </c:val>
        </c:ser>
        <c:marker val="1"/>
        <c:axId val="106420480"/>
        <c:axId val="108004096"/>
      </c:lineChart>
      <c:catAx>
        <c:axId val="106420480"/>
        <c:scaling>
          <c:orientation val="minMax"/>
        </c:scaling>
        <c:axPos val="b"/>
        <c:majorGridlines/>
        <c:title>
          <c:tx>
            <c:rich>
              <a:bodyPr/>
              <a:lstStyle/>
              <a:p>
                <a:pPr>
                  <a:defRPr/>
                </a:pPr>
                <a:r>
                  <a:rPr lang="en-US"/>
                  <a:t>Total Number</a:t>
                </a:r>
                <a:r>
                  <a:rPr lang="en-US" baseline="0"/>
                  <a:t> of Monitors</a:t>
                </a:r>
                <a:endParaRPr lang="en-US"/>
              </a:p>
            </c:rich>
          </c:tx>
        </c:title>
        <c:numFmt formatCode="General" sourceLinked="1"/>
        <c:tickLblPos val="nextTo"/>
        <c:crossAx val="108004096"/>
        <c:crosses val="autoZero"/>
        <c:auto val="1"/>
        <c:lblAlgn val="ctr"/>
        <c:lblOffset val="100"/>
        <c:tickLblSkip val="5"/>
        <c:tickMarkSkip val="5"/>
      </c:catAx>
      <c:valAx>
        <c:axId val="108004096"/>
        <c:scaling>
          <c:orientation val="minMax"/>
        </c:scaling>
        <c:axPos val="l"/>
        <c:majorGridlines/>
        <c:numFmt formatCode="&quot;$&quot;#,##0" sourceLinked="0"/>
        <c:tickLblPos val="nextTo"/>
        <c:crossAx val="106420480"/>
        <c:crossesAt val="1"/>
        <c:crossBetween val="midCat"/>
      </c:valAx>
    </c:plotArea>
    <c:legend>
      <c:legendPos val="r"/>
      <c:layout>
        <c:manualLayout>
          <c:xMode val="edge"/>
          <c:yMode val="edge"/>
          <c:x val="0.80449326323835924"/>
          <c:y val="0.6775148978913399"/>
          <c:w val="8.4323617980701482E-2"/>
          <c:h val="0.14618401217197546"/>
        </c:manualLayout>
      </c:layout>
      <c:spPr>
        <a:solidFill>
          <a:schemeClr val="bg1">
            <a:lumMod val="85000"/>
          </a:schemeClr>
        </a:solidFill>
        <a:ln w="15875">
          <a:solidFill>
            <a:schemeClr val="tx1"/>
          </a:solidFill>
        </a:ln>
        <a:effectLst>
          <a:outerShdw blurRad="50800" dist="38100" dir="2700000" algn="tl" rotWithShape="0">
            <a:prstClr val="black">
              <a:alpha val="40000"/>
            </a:prstClr>
          </a:outerShdw>
        </a:effectLst>
      </c:spPr>
    </c:legend>
    <c:plotVisOnly val="1"/>
  </c:chart>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chartsheets/sheet1.xml><?xml version="1.0" encoding="utf-8"?>
<chartsheet xmlns="http://schemas.openxmlformats.org/spreadsheetml/2006/main" xmlns:r="http://schemas.openxmlformats.org/officeDocument/2006/relationships">
  <sheetPr>
    <tabColor theme="9" tint="-0.249977111117893"/>
  </sheetPr>
  <sheetViews>
    <sheetView zoomScale="150" workbookViewId="0" zoomToFit="1"/>
  </sheetViews>
  <sheetProtection content="1" objects="1"/>
  <pageMargins left="0.7" right="0.7" top="0.75" bottom="0.75" header="0.3" footer="0.3"/>
  <pageSetup orientation="landscape" horizontalDpi="300" verticalDpi="300" r:id="rId1"/>
  <drawing r:id="rId2"/>
</chartsheet>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1143000</xdr:colOff>
      <xdr:row>11</xdr:row>
      <xdr:rowOff>104775</xdr:rowOff>
    </xdr:from>
    <xdr:to>
      <xdr:col>3</xdr:col>
      <xdr:colOff>209550</xdr:colOff>
      <xdr:row>11</xdr:row>
      <xdr:rowOff>104775</xdr:rowOff>
    </xdr:to>
    <xdr:cxnSp macro="">
      <xdr:nvCxnSpPr>
        <xdr:cNvPr id="3" name="Straight Arrow Connector 2"/>
        <xdr:cNvCxnSpPr/>
      </xdr:nvCxnSpPr>
      <xdr:spPr>
        <a:xfrm flipH="1">
          <a:off x="2895600" y="2047875"/>
          <a:ext cx="304800" cy="0"/>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absoluteAnchor>
    <xdr:pos x="12786" y="0"/>
    <xdr:ext cx="8681174" cy="628394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0.84978</cdr:x>
      <cdr:y>0.60834</cdr:y>
    </cdr:from>
    <cdr:to>
      <cdr:x>0.95511</cdr:x>
      <cdr:y>0.75386</cdr:y>
    </cdr:to>
    <cdr:sp macro="" textlink="">
      <cdr:nvSpPr>
        <cdr:cNvPr id="2" name="TextBox 1"/>
        <cdr:cNvSpPr txBox="1"/>
      </cdr:nvSpPr>
      <cdr:spPr>
        <a:xfrm xmlns:a="http://schemas.openxmlformats.org/drawingml/2006/main">
          <a:off x="7377081" y="382278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0.49062</cdr:x>
      <cdr:y>0.5336</cdr:y>
    </cdr:from>
    <cdr:to>
      <cdr:x>0.59595</cdr:x>
      <cdr:y>0.67911</cdr:y>
    </cdr:to>
    <cdr:sp macro="" textlink="">
      <cdr:nvSpPr>
        <cdr:cNvPr id="3" name="TextBox 2"/>
        <cdr:cNvSpPr txBox="1"/>
      </cdr:nvSpPr>
      <cdr:spPr>
        <a:xfrm xmlns:a="http://schemas.openxmlformats.org/drawingml/2006/main">
          <a:off x="4259146" y="335311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0.19514</cdr:x>
      <cdr:y>0.19634</cdr:y>
    </cdr:from>
    <cdr:to>
      <cdr:x>0.69661</cdr:x>
      <cdr:y>0.24212</cdr:y>
    </cdr:to>
    <cdr:sp macro="" textlink="">
      <cdr:nvSpPr>
        <cdr:cNvPr id="4" name="TextBox 3"/>
        <cdr:cNvSpPr txBox="1"/>
      </cdr:nvSpPr>
      <cdr:spPr>
        <a:xfrm xmlns:a="http://schemas.openxmlformats.org/drawingml/2006/main">
          <a:off x="1694043" y="1233775"/>
          <a:ext cx="4353372" cy="287668"/>
        </a:xfrm>
        <a:prstGeom xmlns:a="http://schemas.openxmlformats.org/drawingml/2006/main" prst="rect">
          <a:avLst/>
        </a:prstGeom>
        <a:solidFill xmlns:a="http://schemas.openxmlformats.org/drawingml/2006/main">
          <a:schemeClr val="bg1">
            <a:lumMod val="75000"/>
          </a:schemeClr>
        </a:solidFill>
        <a:ln xmlns:a="http://schemas.openxmlformats.org/drawingml/2006/main" w="12700">
          <a:solidFill>
            <a:schemeClr val="tx1"/>
          </a:solidFill>
        </a:ln>
        <a:effectLst xmlns:a="http://schemas.openxmlformats.org/drawingml/2006/main">
          <a:outerShdw blurRad="50800" dist="38100" dir="2700000" algn="tl" rotWithShape="0">
            <a:prstClr val="black">
              <a:alpha val="40000"/>
            </a:prstClr>
          </a:outerShdw>
        </a:effectLst>
      </cdr:spPr>
      <cdr:txBody>
        <a:bodyPr xmlns:a="http://schemas.openxmlformats.org/drawingml/2006/main" vertOverflow="clip" wrap="none" rtlCol="0"/>
        <a:lstStyle xmlns:a="http://schemas.openxmlformats.org/drawingml/2006/main"/>
        <a:p xmlns:a="http://schemas.openxmlformats.org/drawingml/2006/main">
          <a:r>
            <a:rPr lang="en-US" sz="1100">
              <a:latin typeface="+mn-lt"/>
              <a:ea typeface="+mn-ea"/>
              <a:cs typeface="+mn-cs"/>
            </a:rPr>
            <a:t>This chart</a:t>
          </a:r>
          <a:r>
            <a:rPr lang="en-US" sz="1100" baseline="0">
              <a:latin typeface="+mn-lt"/>
              <a:ea typeface="+mn-ea"/>
              <a:cs typeface="+mn-cs"/>
            </a:rPr>
            <a:t> </a:t>
          </a:r>
          <a:r>
            <a:rPr lang="en-US" sz="1100">
              <a:latin typeface="+mn-lt"/>
              <a:ea typeface="+mn-ea"/>
              <a:cs typeface="+mn-cs"/>
            </a:rPr>
            <a:t>shows the NPAP and</a:t>
          </a:r>
          <a:r>
            <a:rPr lang="en-US" sz="1100" baseline="0">
              <a:latin typeface="+mn-lt"/>
              <a:ea typeface="+mn-ea"/>
              <a:cs typeface="+mn-cs"/>
            </a:rPr>
            <a:t> PEP </a:t>
          </a:r>
          <a:r>
            <a:rPr lang="en-US" sz="1100">
              <a:latin typeface="+mn-lt"/>
              <a:ea typeface="+mn-ea"/>
              <a:cs typeface="+mn-cs"/>
            </a:rPr>
            <a:t>costs for various numbers of monitors </a:t>
          </a:r>
          <a:endParaRPr lang="en-US" sz="11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jhowe@lrboi.com?subject=Questions%20about%20how%20to%20use%20PQAO%20spreadsheet" TargetMode="External"/><Relationship Id="rId7" Type="http://schemas.openxmlformats.org/officeDocument/2006/relationships/comments" Target="../comments1.xml"/><Relationship Id="rId2" Type="http://schemas.openxmlformats.org/officeDocument/2006/relationships/hyperlink" Target="http://www.epa.gov/ttn/amtic/files/ambient/criteria/reference-equivalent-methods-list.pdf" TargetMode="External"/><Relationship Id="rId1" Type="http://schemas.openxmlformats.org/officeDocument/2006/relationships/hyperlink" Target="http://ecfr.gpoaccess.gov/cgi/t/text/text-idx?c=ecfr&amp;sid=1612b40b143b2cb1cc3ccd2446dba06b&amp;rgn=div9&amp;view=text&amp;node=40:5.0.1.1.6.7.1.3.29&amp;idno=40"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5.bin"/><Relationship Id="rId1" Type="http://schemas.openxmlformats.org/officeDocument/2006/relationships/hyperlink" Target="http://www.epa.gov/ttn/amtic/files/ambient/pm25/qa/FinalNPAPPEP2011.pdf" TargetMode="External"/><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tabColor theme="4" tint="0.59999389629810485"/>
  </sheetPr>
  <dimension ref="A1:A2"/>
  <sheetViews>
    <sheetView workbookViewId="0"/>
  </sheetViews>
  <sheetFormatPr defaultRowHeight="12.75"/>
  <cols>
    <col min="1" max="1" width="121.140625" style="108" customWidth="1"/>
    <col min="2" max="16384" width="9.140625" style="108"/>
  </cols>
  <sheetData>
    <row r="1" spans="1:1" ht="366.75" customHeight="1">
      <c r="A1" s="198" t="s">
        <v>101</v>
      </c>
    </row>
    <row r="2" spans="1:1" ht="144" customHeight="1">
      <c r="A2" s="199" t="s">
        <v>100</v>
      </c>
    </row>
  </sheetData>
  <sheetProtection sheet="1" objects="1" scenarios="1" selectLockedCells="1" selectUnlockedCells="1"/>
  <pageMargins left="0.7" right="0.7" top="0.75" bottom="0.75" header="0.3" footer="0.3"/>
  <pageSetup orientation="landscape" horizontalDpi="300" verticalDpi="300" r:id="rId1"/>
</worksheet>
</file>

<file path=xl/worksheets/sheet2.xml><?xml version="1.0" encoding="utf-8"?>
<worksheet xmlns="http://schemas.openxmlformats.org/spreadsheetml/2006/main" xmlns:r="http://schemas.openxmlformats.org/officeDocument/2006/relationships">
  <sheetPr>
    <tabColor theme="1"/>
  </sheetPr>
  <dimension ref="A1:J39"/>
  <sheetViews>
    <sheetView showGridLines="0" tabSelected="1" zoomScaleNormal="100" zoomScaleSheetLayoutView="114" workbookViewId="0">
      <selection activeCell="F21" sqref="F21"/>
    </sheetView>
  </sheetViews>
  <sheetFormatPr defaultRowHeight="12.75"/>
  <cols>
    <col min="1" max="1" width="3.28515625" style="58" bestFit="1" customWidth="1"/>
    <col min="2" max="2" width="23" style="23" customWidth="1"/>
    <col min="3" max="5" width="18.5703125" style="23" customWidth="1"/>
    <col min="6" max="7" width="18.5703125" style="59" customWidth="1"/>
    <col min="8" max="10" width="9.140625" style="22"/>
    <col min="11" max="16384" width="9.140625" style="23"/>
  </cols>
  <sheetData>
    <row r="1" spans="1:10" ht="25.5" customHeight="1">
      <c r="A1" s="208" t="s">
        <v>37</v>
      </c>
      <c r="B1" s="209"/>
      <c r="C1" s="209"/>
      <c r="D1" s="209"/>
      <c r="E1" s="209"/>
      <c r="F1" s="209"/>
      <c r="G1" s="210"/>
    </row>
    <row r="2" spans="1:10" ht="12.75" customHeight="1">
      <c r="A2" s="217" t="s">
        <v>32</v>
      </c>
      <c r="B2" s="121"/>
      <c r="C2" s="211" t="s">
        <v>25</v>
      </c>
      <c r="D2" s="212"/>
      <c r="E2" s="213"/>
      <c r="F2" s="24"/>
      <c r="G2" s="110"/>
    </row>
    <row r="3" spans="1:10">
      <c r="A3" s="218"/>
      <c r="B3" s="122"/>
      <c r="C3" s="25" t="s">
        <v>26</v>
      </c>
      <c r="D3" s="211" t="s">
        <v>20</v>
      </c>
      <c r="E3" s="213"/>
      <c r="F3" s="235" t="s">
        <v>15</v>
      </c>
      <c r="G3" s="236"/>
    </row>
    <row r="4" spans="1:10">
      <c r="A4" s="216"/>
      <c r="B4" s="123"/>
      <c r="C4" s="124"/>
      <c r="D4" s="112" t="s">
        <v>21</v>
      </c>
      <c r="E4" s="112" t="s">
        <v>22</v>
      </c>
      <c r="F4" s="27" t="s">
        <v>16</v>
      </c>
      <c r="G4" s="27" t="s">
        <v>17</v>
      </c>
    </row>
    <row r="5" spans="1:10">
      <c r="A5" s="219" t="s">
        <v>93</v>
      </c>
      <c r="B5" s="220"/>
      <c r="C5" s="220"/>
      <c r="D5" s="220"/>
      <c r="E5" s="220"/>
      <c r="F5" s="245" t="s">
        <v>74</v>
      </c>
      <c r="G5" s="246"/>
    </row>
    <row r="6" spans="1:10">
      <c r="A6" s="221"/>
      <c r="B6" s="222"/>
      <c r="C6" s="222"/>
      <c r="D6" s="222"/>
      <c r="E6" s="222"/>
      <c r="F6" s="245" t="s">
        <v>59</v>
      </c>
      <c r="G6" s="246"/>
    </row>
    <row r="7" spans="1:10" ht="12.75" customHeight="1">
      <c r="A7" s="217" t="s">
        <v>31</v>
      </c>
      <c r="B7" s="117" t="s">
        <v>2</v>
      </c>
      <c r="C7" s="7">
        <v>0</v>
      </c>
      <c r="D7" s="30"/>
      <c r="E7" s="28"/>
      <c r="F7" s="125">
        <v>40544</v>
      </c>
      <c r="G7" s="125">
        <v>40908</v>
      </c>
    </row>
    <row r="8" spans="1:10">
      <c r="A8" s="218"/>
      <c r="B8" s="118" t="s">
        <v>3</v>
      </c>
      <c r="C8" s="9">
        <v>0</v>
      </c>
      <c r="D8" s="30"/>
      <c r="E8" s="28"/>
      <c r="F8" s="126"/>
      <c r="G8" s="127"/>
    </row>
    <row r="9" spans="1:10">
      <c r="A9" s="218"/>
      <c r="B9" s="118" t="s">
        <v>4</v>
      </c>
      <c r="C9" s="9">
        <v>0</v>
      </c>
      <c r="D9" s="51"/>
      <c r="E9" s="28"/>
      <c r="F9" s="126"/>
      <c r="G9" s="127"/>
    </row>
    <row r="10" spans="1:10">
      <c r="A10" s="218"/>
      <c r="B10" s="119" t="s">
        <v>5</v>
      </c>
      <c r="C10" s="11">
        <v>0</v>
      </c>
      <c r="D10" s="30"/>
      <c r="E10" s="28"/>
      <c r="F10" s="126"/>
      <c r="G10" s="127"/>
    </row>
    <row r="11" spans="1:10" s="38" customFormat="1">
      <c r="A11" s="218"/>
      <c r="B11" s="120" t="s">
        <v>6</v>
      </c>
      <c r="C11" s="33">
        <f>SUM(C7:C10)</f>
        <v>0</v>
      </c>
      <c r="D11" s="34"/>
      <c r="E11" s="35"/>
      <c r="F11" s="36"/>
      <c r="G11" s="107"/>
      <c r="H11" s="37"/>
      <c r="I11" s="37"/>
      <c r="J11" s="37"/>
    </row>
    <row r="12" spans="1:10" s="38" customFormat="1">
      <c r="A12" s="216"/>
      <c r="B12" s="120" t="s">
        <v>73</v>
      </c>
      <c r="C12" s="295">
        <v>0</v>
      </c>
      <c r="D12" s="35"/>
      <c r="E12" s="35"/>
      <c r="F12" s="36"/>
      <c r="G12" s="107"/>
      <c r="H12" s="37"/>
      <c r="I12" s="37"/>
      <c r="J12" s="37"/>
    </row>
    <row r="13" spans="1:10">
      <c r="A13" s="64"/>
      <c r="B13" s="28"/>
      <c r="C13" s="28"/>
      <c r="D13" s="39"/>
      <c r="E13" s="28"/>
      <c r="F13" s="29"/>
      <c r="G13" s="106"/>
    </row>
    <row r="14" spans="1:10" ht="12.75" customHeight="1">
      <c r="A14" s="214" t="s">
        <v>12</v>
      </c>
      <c r="B14" s="7" t="s">
        <v>65</v>
      </c>
      <c r="C14" s="114">
        <v>0</v>
      </c>
      <c r="D14" s="41">
        <f>IF(H14&lt;0.5,J14,I14)</f>
        <v>0</v>
      </c>
      <c r="E14" s="42" t="s">
        <v>23</v>
      </c>
      <c r="F14" s="43"/>
      <c r="G14" s="106"/>
      <c r="H14" s="22">
        <f t="shared" ref="H14:H21" si="0">C14*0.15</f>
        <v>0</v>
      </c>
      <c r="I14" s="22">
        <f>ROUND(H14,0)</f>
        <v>0</v>
      </c>
      <c r="J14" s="22">
        <f>ROUNDUP(H14,0)</f>
        <v>0</v>
      </c>
    </row>
    <row r="15" spans="1:10">
      <c r="A15" s="215"/>
      <c r="B15" s="9" t="s">
        <v>67</v>
      </c>
      <c r="C15" s="115">
        <v>0</v>
      </c>
      <c r="D15" s="44">
        <f>IF(H15&lt;0.5,J15,I15)</f>
        <v>0</v>
      </c>
      <c r="E15" s="45" t="s">
        <v>23</v>
      </c>
      <c r="F15" s="43"/>
      <c r="G15" s="106"/>
      <c r="H15" s="22">
        <f t="shared" si="0"/>
        <v>0</v>
      </c>
      <c r="I15" s="22">
        <f t="shared" ref="I15:I21" si="1">ROUND(H15,0)</f>
        <v>0</v>
      </c>
      <c r="J15" s="22">
        <f t="shared" ref="J15:J21" si="2">ROUNDUP(H15,0)</f>
        <v>0</v>
      </c>
    </row>
    <row r="16" spans="1:10">
      <c r="A16" s="215"/>
      <c r="B16" s="9" t="s">
        <v>68</v>
      </c>
      <c r="C16" s="115">
        <v>0</v>
      </c>
      <c r="D16" s="44">
        <f>IF(H16&lt;0.5,J16,I16)</f>
        <v>0</v>
      </c>
      <c r="E16" s="45" t="s">
        <v>23</v>
      </c>
      <c r="F16" s="43"/>
      <c r="G16" s="106"/>
      <c r="H16" s="22">
        <f t="shared" si="0"/>
        <v>0</v>
      </c>
      <c r="I16" s="22">
        <f t="shared" si="1"/>
        <v>0</v>
      </c>
      <c r="J16" s="22">
        <f t="shared" si="2"/>
        <v>0</v>
      </c>
    </row>
    <row r="17" spans="1:10" s="38" customFormat="1">
      <c r="A17" s="215"/>
      <c r="B17" s="11" t="s">
        <v>69</v>
      </c>
      <c r="C17" s="116">
        <v>0</v>
      </c>
      <c r="D17" s="47">
        <f>IF(H17&lt;0.5,J17,I17)</f>
        <v>0</v>
      </c>
      <c r="E17" s="48" t="s">
        <v>23</v>
      </c>
      <c r="F17" s="49"/>
      <c r="G17" s="107"/>
      <c r="H17" s="22">
        <f t="shared" si="0"/>
        <v>0</v>
      </c>
      <c r="I17" s="22">
        <f t="shared" si="1"/>
        <v>0</v>
      </c>
      <c r="J17" s="22">
        <f t="shared" si="2"/>
        <v>0</v>
      </c>
    </row>
    <row r="18" spans="1:10">
      <c r="A18" s="215"/>
      <c r="B18" s="9" t="s">
        <v>66</v>
      </c>
      <c r="C18" s="114">
        <v>0</v>
      </c>
      <c r="D18" s="41">
        <f>IF(H18&lt;0.1,0,IF(H18&lt;0.5,1,CEILING(I18/2,1)))</f>
        <v>0</v>
      </c>
      <c r="E18" s="41">
        <f>IF(I18&gt;0,FLOOR(I18/2,1),0)</f>
        <v>0</v>
      </c>
      <c r="F18" s="43"/>
      <c r="G18" s="106"/>
      <c r="H18" s="22">
        <f t="shared" si="0"/>
        <v>0</v>
      </c>
      <c r="I18" s="22">
        <f t="shared" si="1"/>
        <v>0</v>
      </c>
      <c r="J18" s="22">
        <f t="shared" si="2"/>
        <v>0</v>
      </c>
    </row>
    <row r="19" spans="1:10">
      <c r="A19" s="215"/>
      <c r="B19" s="9" t="s">
        <v>70</v>
      </c>
      <c r="C19" s="115">
        <v>0</v>
      </c>
      <c r="D19" s="44">
        <f>IF(H19&lt;0.1,0,IF(H19&lt;0.5,1,CEILING(I19/2,1)))</f>
        <v>0</v>
      </c>
      <c r="E19" s="44">
        <f>IF(I19&gt;0,FLOOR(I19/2,1),0)</f>
        <v>0</v>
      </c>
      <c r="F19" s="43"/>
      <c r="G19" s="106"/>
      <c r="H19" s="22">
        <f t="shared" si="0"/>
        <v>0</v>
      </c>
      <c r="I19" s="22">
        <f t="shared" si="1"/>
        <v>0</v>
      </c>
      <c r="J19" s="22">
        <f t="shared" si="2"/>
        <v>0</v>
      </c>
    </row>
    <row r="20" spans="1:10">
      <c r="A20" s="215"/>
      <c r="B20" s="9" t="s">
        <v>71</v>
      </c>
      <c r="C20" s="115">
        <v>0</v>
      </c>
      <c r="D20" s="44">
        <f>IF(H20&lt;0.1,0,IF(H20&lt;0.5,1,CEILING(I20/2,1)))</f>
        <v>0</v>
      </c>
      <c r="E20" s="44">
        <f>IF(I20&gt;0,FLOOR(I20/2,1),0)</f>
        <v>0</v>
      </c>
      <c r="F20" s="43"/>
      <c r="G20" s="106"/>
      <c r="H20" s="22">
        <f t="shared" si="0"/>
        <v>0</v>
      </c>
      <c r="I20" s="22">
        <f t="shared" si="1"/>
        <v>0</v>
      </c>
      <c r="J20" s="22">
        <f t="shared" si="2"/>
        <v>0</v>
      </c>
    </row>
    <row r="21" spans="1:10">
      <c r="A21" s="215"/>
      <c r="B21" s="11" t="s">
        <v>72</v>
      </c>
      <c r="C21" s="115">
        <v>0</v>
      </c>
      <c r="D21" s="44">
        <f>IF(H21&lt;0.1,0,IF(H21&lt;0.5,1,CEILING(I21/2,1)))</f>
        <v>0</v>
      </c>
      <c r="E21" s="44">
        <f>IF(I21&gt;0,FLOOR(I21/2,1),0)</f>
        <v>0</v>
      </c>
      <c r="F21" s="43"/>
      <c r="G21" s="106"/>
      <c r="H21" s="22">
        <f t="shared" si="0"/>
        <v>0</v>
      </c>
      <c r="I21" s="22">
        <f t="shared" si="1"/>
        <v>0</v>
      </c>
      <c r="J21" s="22">
        <f t="shared" si="2"/>
        <v>0</v>
      </c>
    </row>
    <row r="22" spans="1:10">
      <c r="A22" s="216"/>
      <c r="B22" s="33" t="s">
        <v>24</v>
      </c>
      <c r="C22" s="32">
        <f>SUM(C14:C21)</f>
        <v>0</v>
      </c>
      <c r="D22" s="32">
        <f>SUM(D14:D21)</f>
        <v>0</v>
      </c>
      <c r="E22" s="50">
        <f>SUM(E14:E21)</f>
        <v>0</v>
      </c>
      <c r="F22" s="43"/>
      <c r="G22" s="106"/>
      <c r="H22" s="22">
        <f t="shared" ref="H22:H32" si="3">C22*0.15</f>
        <v>0</v>
      </c>
      <c r="I22" s="22">
        <f t="shared" ref="I22:I35" si="4">ROUND(H22,0)</f>
        <v>0</v>
      </c>
      <c r="J22" s="22">
        <f t="shared" ref="J22:J35" si="5">ROUNDUP(H22,0)</f>
        <v>0</v>
      </c>
    </row>
    <row r="23" spans="1:10" s="38" customFormat="1">
      <c r="A23" s="100"/>
      <c r="B23" s="28"/>
      <c r="C23" s="28"/>
      <c r="D23" s="35"/>
      <c r="E23" s="35"/>
      <c r="F23" s="36"/>
      <c r="G23" s="107"/>
      <c r="H23" s="22">
        <f t="shared" si="3"/>
        <v>0</v>
      </c>
      <c r="I23" s="22">
        <f t="shared" si="4"/>
        <v>0</v>
      </c>
      <c r="J23" s="22">
        <f t="shared" si="5"/>
        <v>0</v>
      </c>
    </row>
    <row r="24" spans="1:10" s="38" customFormat="1" ht="12.75" customHeight="1">
      <c r="A24" s="217" t="s">
        <v>39</v>
      </c>
      <c r="B24" s="40" t="s">
        <v>40</v>
      </c>
      <c r="C24" s="7">
        <v>0</v>
      </c>
      <c r="D24" s="237">
        <f>IF(H24&lt;0.5,J24,I24)</f>
        <v>0</v>
      </c>
      <c r="E24" s="34"/>
      <c r="F24" s="36"/>
      <c r="G24" s="107"/>
      <c r="H24" s="22">
        <f>SUM(C24+C25)*0.15</f>
        <v>0</v>
      </c>
      <c r="I24" s="22">
        <f t="shared" ref="I24" si="6">ROUND(H24,0)</f>
        <v>0</v>
      </c>
      <c r="J24" s="22">
        <f t="shared" ref="J24" si="7">ROUNDUP(H24,0)</f>
        <v>0</v>
      </c>
    </row>
    <row r="25" spans="1:10" ht="12.75" customHeight="1">
      <c r="A25" s="218"/>
      <c r="B25" s="46" t="s">
        <v>41</v>
      </c>
      <c r="C25" s="11">
        <v>0</v>
      </c>
      <c r="D25" s="238"/>
      <c r="E25" s="51"/>
      <c r="F25" s="29"/>
      <c r="G25" s="106"/>
    </row>
    <row r="26" spans="1:10">
      <c r="A26" s="218"/>
      <c r="B26" s="46" t="s">
        <v>42</v>
      </c>
      <c r="C26" s="11">
        <v>0</v>
      </c>
      <c r="D26" s="52"/>
      <c r="E26" s="53"/>
      <c r="F26" s="29"/>
      <c r="G26" s="106"/>
      <c r="H26" s="22">
        <f t="shared" si="3"/>
        <v>0</v>
      </c>
      <c r="I26" s="22">
        <f t="shared" si="4"/>
        <v>0</v>
      </c>
      <c r="J26" s="22">
        <f t="shared" si="5"/>
        <v>0</v>
      </c>
    </row>
    <row r="27" spans="1:10">
      <c r="A27" s="216"/>
      <c r="B27" s="32" t="s">
        <v>43</v>
      </c>
      <c r="C27" s="33">
        <f>SUM(C24:C26)</f>
        <v>0</v>
      </c>
      <c r="D27" s="54">
        <f>SUM(D24)</f>
        <v>0</v>
      </c>
      <c r="E27" s="55"/>
      <c r="F27" s="29"/>
      <c r="G27" s="106"/>
      <c r="H27" s="22">
        <f t="shared" si="3"/>
        <v>0</v>
      </c>
      <c r="I27" s="22">
        <f t="shared" si="4"/>
        <v>0</v>
      </c>
      <c r="J27" s="22">
        <f t="shared" si="5"/>
        <v>0</v>
      </c>
    </row>
    <row r="28" spans="1:10">
      <c r="A28" s="64"/>
      <c r="B28" s="28"/>
      <c r="C28" s="28"/>
      <c r="D28" s="28"/>
      <c r="E28" s="28"/>
      <c r="F28" s="29"/>
      <c r="G28" s="106"/>
      <c r="H28" s="22">
        <f t="shared" si="3"/>
        <v>0</v>
      </c>
      <c r="I28" s="22">
        <f t="shared" si="4"/>
        <v>0</v>
      </c>
      <c r="J28" s="22">
        <f t="shared" si="5"/>
        <v>0</v>
      </c>
    </row>
    <row r="29" spans="1:10" ht="12.75" customHeight="1">
      <c r="A29" s="217" t="s">
        <v>45</v>
      </c>
      <c r="B29" s="56" t="s">
        <v>50</v>
      </c>
      <c r="C29" s="4">
        <v>0</v>
      </c>
      <c r="D29" s="57">
        <f>IF(H29&lt;0.5,J29,I29)</f>
        <v>0</v>
      </c>
      <c r="E29" s="28"/>
      <c r="F29" s="29"/>
      <c r="G29" s="106"/>
      <c r="H29" s="22">
        <f t="shared" si="3"/>
        <v>0</v>
      </c>
      <c r="I29" s="22">
        <f t="shared" si="4"/>
        <v>0</v>
      </c>
      <c r="J29" s="22">
        <f t="shared" si="5"/>
        <v>0</v>
      </c>
    </row>
    <row r="30" spans="1:10">
      <c r="A30" s="218"/>
      <c r="B30" s="56" t="s">
        <v>49</v>
      </c>
      <c r="C30" s="4">
        <v>0</v>
      </c>
      <c r="D30" s="57">
        <f>IF(H30&lt;0.5,J30,I30)</f>
        <v>0</v>
      </c>
      <c r="E30" s="28"/>
      <c r="F30" s="29"/>
      <c r="G30" s="106"/>
      <c r="H30" s="22">
        <f t="shared" si="3"/>
        <v>0</v>
      </c>
      <c r="I30" s="22">
        <f t="shared" si="4"/>
        <v>0</v>
      </c>
      <c r="J30" s="22">
        <f t="shared" si="5"/>
        <v>0</v>
      </c>
    </row>
    <row r="31" spans="1:10">
      <c r="A31" s="216"/>
      <c r="B31" s="32" t="s">
        <v>48</v>
      </c>
      <c r="C31" s="33">
        <f>SUM(C29:C30)</f>
        <v>0</v>
      </c>
      <c r="D31" s="32">
        <f>SUM(D29:D30)</f>
        <v>0</v>
      </c>
      <c r="E31" s="28"/>
      <c r="F31" s="29"/>
      <c r="G31" s="106"/>
      <c r="H31" s="22">
        <f t="shared" si="3"/>
        <v>0</v>
      </c>
      <c r="I31" s="22">
        <f t="shared" si="4"/>
        <v>0</v>
      </c>
      <c r="J31" s="22">
        <f t="shared" si="5"/>
        <v>0</v>
      </c>
    </row>
    <row r="32" spans="1:10">
      <c r="A32" s="64"/>
      <c r="B32" s="28"/>
      <c r="C32" s="28"/>
      <c r="D32" s="28"/>
      <c r="E32" s="28"/>
      <c r="F32" s="29"/>
      <c r="G32" s="106"/>
      <c r="H32" s="22">
        <f t="shared" si="3"/>
        <v>0</v>
      </c>
      <c r="I32" s="22">
        <f t="shared" si="4"/>
        <v>0</v>
      </c>
      <c r="J32" s="22">
        <f t="shared" si="5"/>
        <v>0</v>
      </c>
    </row>
    <row r="33" spans="1:10">
      <c r="A33" s="239" t="s">
        <v>34</v>
      </c>
      <c r="B33" s="240"/>
      <c r="C33" s="240"/>
      <c r="D33" s="240"/>
      <c r="E33" s="240"/>
      <c r="F33" s="240"/>
      <c r="G33" s="241"/>
    </row>
    <row r="34" spans="1:10">
      <c r="A34" s="242" t="s">
        <v>35</v>
      </c>
      <c r="B34" s="243"/>
      <c r="C34" s="243"/>
      <c r="D34" s="243"/>
      <c r="E34" s="243"/>
      <c r="F34" s="243"/>
      <c r="G34" s="244"/>
      <c r="H34" s="22">
        <f>C33*0.15</f>
        <v>0</v>
      </c>
      <c r="I34" s="22">
        <f t="shared" si="4"/>
        <v>0</v>
      </c>
      <c r="J34" s="22">
        <f t="shared" si="5"/>
        <v>0</v>
      </c>
    </row>
    <row r="35" spans="1:10">
      <c r="A35" s="232" t="s">
        <v>38</v>
      </c>
      <c r="B35" s="233"/>
      <c r="C35" s="233"/>
      <c r="D35" s="233"/>
      <c r="E35" s="233"/>
      <c r="F35" s="233"/>
      <c r="G35" s="234"/>
      <c r="H35" s="22">
        <f>C34*0.15</f>
        <v>0</v>
      </c>
      <c r="I35" s="22">
        <f t="shared" si="4"/>
        <v>0</v>
      </c>
      <c r="J35" s="22">
        <f t="shared" si="5"/>
        <v>0</v>
      </c>
    </row>
    <row r="36" spans="1:10">
      <c r="A36" s="247"/>
      <c r="B36" s="248"/>
      <c r="C36" s="248"/>
      <c r="D36" s="248"/>
      <c r="E36" s="248"/>
      <c r="F36" s="248"/>
      <c r="G36" s="249"/>
    </row>
    <row r="37" spans="1:10">
      <c r="A37" s="223" t="s">
        <v>64</v>
      </c>
      <c r="B37" s="224"/>
      <c r="C37" s="224"/>
      <c r="D37" s="224"/>
      <c r="E37" s="224"/>
      <c r="F37" s="224"/>
      <c r="G37" s="225"/>
    </row>
    <row r="38" spans="1:10">
      <c r="A38" s="226" t="s">
        <v>62</v>
      </c>
      <c r="B38" s="227"/>
      <c r="C38" s="227"/>
      <c r="D38" s="227"/>
      <c r="E38" s="227"/>
      <c r="F38" s="227"/>
      <c r="G38" s="228"/>
    </row>
    <row r="39" spans="1:10">
      <c r="A39" s="229" t="s">
        <v>63</v>
      </c>
      <c r="B39" s="230"/>
      <c r="C39" s="230"/>
      <c r="D39" s="230"/>
      <c r="E39" s="230"/>
      <c r="F39" s="230"/>
      <c r="G39" s="231"/>
    </row>
  </sheetData>
  <sheetProtection selectLockedCells="1"/>
  <mergeCells count="20">
    <mergeCell ref="A37:G37"/>
    <mergeCell ref="A38:G38"/>
    <mergeCell ref="A39:G39"/>
    <mergeCell ref="A35:G35"/>
    <mergeCell ref="D3:E3"/>
    <mergeCell ref="F3:G3"/>
    <mergeCell ref="A24:A27"/>
    <mergeCell ref="D24:D25"/>
    <mergeCell ref="A29:A31"/>
    <mergeCell ref="A33:G33"/>
    <mergeCell ref="A34:G34"/>
    <mergeCell ref="F5:G5"/>
    <mergeCell ref="F6:G6"/>
    <mergeCell ref="A36:G36"/>
    <mergeCell ref="A1:G1"/>
    <mergeCell ref="C2:E2"/>
    <mergeCell ref="A14:A22"/>
    <mergeCell ref="A7:A12"/>
    <mergeCell ref="A2:A4"/>
    <mergeCell ref="A5:E6"/>
  </mergeCells>
  <hyperlinks>
    <hyperlink ref="A33:C33" r:id="rId1" display="Click Here for 40 CFR Part 58"/>
    <hyperlink ref="A34:C34" r:id="rId2" display="Click Here for 40 CFR Part 59"/>
    <hyperlink ref="A35:G35" r:id="rId3" display="Click here to ask a question about how to use PQAO spreadsheet"/>
  </hyperlinks>
  <pageMargins left="0.7" right="0.7" top="0.75" bottom="0.75" header="0.3" footer="0.3"/>
  <pageSetup orientation="landscape" horizontalDpi="300" verticalDpi="300" r:id="rId4"/>
  <drawing r:id="rId5"/>
  <legacyDrawing r:id="rId6"/>
</worksheet>
</file>

<file path=xl/worksheets/sheet3.xml><?xml version="1.0" encoding="utf-8"?>
<worksheet xmlns="http://schemas.openxmlformats.org/spreadsheetml/2006/main" xmlns:r="http://schemas.openxmlformats.org/officeDocument/2006/relationships">
  <sheetPr>
    <tabColor rgb="FFFFFF00"/>
  </sheetPr>
  <dimension ref="A1:BD39"/>
  <sheetViews>
    <sheetView showGridLines="0" zoomScaleNormal="100" workbookViewId="0">
      <selection activeCell="I38" sqref="I38"/>
    </sheetView>
  </sheetViews>
  <sheetFormatPr defaultRowHeight="12.75"/>
  <cols>
    <col min="1" max="1" width="3.28515625" style="58" bestFit="1" customWidth="1"/>
    <col min="2" max="2" width="23" style="60" customWidth="1"/>
    <col min="3" max="4" width="15.28515625" style="60" customWidth="1"/>
    <col min="5" max="6" width="15.28515625" style="91" customWidth="1"/>
    <col min="7" max="8" width="15.28515625" style="60" customWidth="1"/>
    <col min="9" max="16384" width="9.140625" style="60"/>
  </cols>
  <sheetData>
    <row r="1" spans="1:8" ht="25.5" customHeight="1">
      <c r="A1" s="260" t="s">
        <v>61</v>
      </c>
      <c r="B1" s="209"/>
      <c r="C1" s="209"/>
      <c r="D1" s="209"/>
      <c r="E1" s="209"/>
      <c r="F1" s="209"/>
      <c r="G1" s="209"/>
      <c r="H1" s="210"/>
    </row>
    <row r="2" spans="1:8">
      <c r="A2" s="218"/>
      <c r="B2" s="61"/>
      <c r="C2" s="261" t="s">
        <v>0</v>
      </c>
      <c r="D2" s="261"/>
      <c r="E2" s="261" t="s">
        <v>27</v>
      </c>
      <c r="F2" s="261"/>
      <c r="G2" s="261" t="s">
        <v>30</v>
      </c>
      <c r="H2" s="261"/>
    </row>
    <row r="3" spans="1:8" s="63" customFormat="1">
      <c r="A3" s="216"/>
      <c r="B3" s="62"/>
      <c r="C3" s="26" t="s">
        <v>18</v>
      </c>
      <c r="D3" s="26" t="s">
        <v>28</v>
      </c>
      <c r="E3" s="26" t="s">
        <v>18</v>
      </c>
      <c r="F3" s="26" t="s">
        <v>28</v>
      </c>
      <c r="G3" s="26" t="s">
        <v>18</v>
      </c>
      <c r="H3" s="26" t="s">
        <v>28</v>
      </c>
    </row>
    <row r="4" spans="1:8" s="63" customFormat="1">
      <c r="A4" s="64"/>
      <c r="B4" s="28"/>
      <c r="C4" s="28"/>
      <c r="D4" s="28"/>
      <c r="E4" s="28"/>
      <c r="F4" s="28"/>
      <c r="G4" s="28"/>
      <c r="H4" s="31"/>
    </row>
    <row r="5" spans="1:8">
      <c r="A5" s="217" t="s">
        <v>31</v>
      </c>
      <c r="B5" s="65" t="s">
        <v>11</v>
      </c>
      <c r="C5" s="66">
        <f>IF(Monitors!C7&gt;0,(WEEKNUM(Monitors!G7)-WEEKNUM(Monitors!F7))/2,0)</f>
        <v>0</v>
      </c>
      <c r="D5" s="67">
        <f>C5*Monitors!C7</f>
        <v>0</v>
      </c>
      <c r="E5" s="68"/>
      <c r="F5" s="68"/>
      <c r="G5" s="68"/>
      <c r="H5" s="69"/>
    </row>
    <row r="6" spans="1:8">
      <c r="A6" s="218"/>
      <c r="B6" s="70" t="s">
        <v>3</v>
      </c>
      <c r="C6" s="71">
        <f>IF(Monitors!C8&gt;0,26,0)</f>
        <v>0</v>
      </c>
      <c r="D6" s="72">
        <f>C6*Monitors!C8</f>
        <v>0</v>
      </c>
      <c r="E6" s="68"/>
      <c r="F6" s="68"/>
      <c r="G6" s="68"/>
      <c r="H6" s="69"/>
    </row>
    <row r="7" spans="1:8">
      <c r="A7" s="218"/>
      <c r="B7" s="70" t="s">
        <v>4</v>
      </c>
      <c r="C7" s="71">
        <f>IF(Monitors!C9&gt;0,26,0)</f>
        <v>0</v>
      </c>
      <c r="D7" s="111">
        <f>C7*Monitors!C9</f>
        <v>0</v>
      </c>
      <c r="E7" s="68"/>
      <c r="F7" s="68"/>
      <c r="G7" s="68"/>
      <c r="H7" s="69"/>
    </row>
    <row r="8" spans="1:8">
      <c r="A8" s="218"/>
      <c r="B8" s="70" t="s">
        <v>5</v>
      </c>
      <c r="C8" s="71">
        <f>IF(Monitors!C10&gt;0,26,0)</f>
        <v>0</v>
      </c>
      <c r="D8" s="111">
        <f>C8*Monitors!C10</f>
        <v>0</v>
      </c>
      <c r="E8" s="68"/>
      <c r="F8" s="68"/>
      <c r="G8" s="68"/>
      <c r="H8" s="69"/>
    </row>
    <row r="9" spans="1:8">
      <c r="A9" s="216"/>
      <c r="B9" s="73" t="s">
        <v>13</v>
      </c>
      <c r="C9" s="74"/>
      <c r="D9" s="74">
        <f>SUM(D5:D8)</f>
        <v>0</v>
      </c>
      <c r="E9" s="68"/>
      <c r="F9" s="68"/>
      <c r="G9" s="68"/>
      <c r="H9" s="69"/>
    </row>
    <row r="10" spans="1:8">
      <c r="A10" s="64"/>
      <c r="B10" s="75"/>
      <c r="C10" s="68"/>
      <c r="D10" s="68"/>
      <c r="E10" s="68"/>
      <c r="F10" s="68"/>
      <c r="G10" s="68"/>
      <c r="H10" s="69"/>
    </row>
    <row r="11" spans="1:8" ht="12.75" customHeight="1">
      <c r="A11" s="214" t="s">
        <v>12</v>
      </c>
      <c r="B11" s="76" t="str">
        <f>Monitors!B14</f>
        <v>PM 2.5 FRM Method A</v>
      </c>
      <c r="C11" s="68"/>
      <c r="D11" s="68"/>
      <c r="E11" s="66">
        <f>IF(Monitors!C14&gt;0,12,0)</f>
        <v>0</v>
      </c>
      <c r="F11" s="66">
        <f>(Monitors!C14+Monitors!D14)*12</f>
        <v>0</v>
      </c>
      <c r="G11" s="67">
        <f>IF(Monitors!D14&gt;0,30,0)</f>
        <v>0</v>
      </c>
      <c r="H11" s="67">
        <f>Monitors!D14*G11</f>
        <v>0</v>
      </c>
    </row>
    <row r="12" spans="1:8">
      <c r="A12" s="215"/>
      <c r="B12" s="77" t="str">
        <f>Monitors!B15</f>
        <v>PM 2.5 FRM Method B</v>
      </c>
      <c r="C12" s="68"/>
      <c r="D12" s="68"/>
      <c r="E12" s="71">
        <f>IF(Monitors!C15&gt;0,12,0)</f>
        <v>0</v>
      </c>
      <c r="F12" s="71">
        <f>(Monitors!C15+Monitors!D15)*12</f>
        <v>0</v>
      </c>
      <c r="G12" s="72">
        <f>IF(Monitors!D15&gt;0,30,0)</f>
        <v>0</v>
      </c>
      <c r="H12" s="72">
        <f>Monitors!D15*G12</f>
        <v>0</v>
      </c>
    </row>
    <row r="13" spans="1:8">
      <c r="A13" s="215"/>
      <c r="B13" s="77" t="str">
        <f>Monitors!B16</f>
        <v>PM 2.5 FRM Method C</v>
      </c>
      <c r="C13" s="68"/>
      <c r="D13" s="68"/>
      <c r="E13" s="71">
        <f>IF(Monitors!C16&gt;0,12,0)</f>
        <v>0</v>
      </c>
      <c r="F13" s="71">
        <f>(Monitors!C16+Monitors!D16)*12</f>
        <v>0</v>
      </c>
      <c r="G13" s="72">
        <f>IF(Monitors!D16&gt;0,30,0)</f>
        <v>0</v>
      </c>
      <c r="H13" s="72">
        <f>Monitors!D16*G13</f>
        <v>0</v>
      </c>
    </row>
    <row r="14" spans="1:8">
      <c r="A14" s="215"/>
      <c r="B14" s="77" t="str">
        <f>Monitors!B17</f>
        <v>PM 2.5 FRM Method D</v>
      </c>
      <c r="C14" s="68"/>
      <c r="D14" s="68"/>
      <c r="E14" s="71">
        <f>IF(Monitors!C17&gt;0,12,0)</f>
        <v>0</v>
      </c>
      <c r="F14" s="71">
        <f>(Monitors!C17+Monitors!D17)*12</f>
        <v>0</v>
      </c>
      <c r="G14" s="72">
        <f>IF(Monitors!D17&gt;0,30,0)</f>
        <v>0</v>
      </c>
      <c r="H14" s="72">
        <f>Monitors!D17*G14</f>
        <v>0</v>
      </c>
    </row>
    <row r="15" spans="1:8">
      <c r="A15" s="215"/>
      <c r="B15" s="78" t="s">
        <v>44</v>
      </c>
      <c r="C15" s="68"/>
      <c r="D15" s="68"/>
      <c r="E15" s="79">
        <f>IF(Monitors!D22&gt;0,12,0)</f>
        <v>0</v>
      </c>
      <c r="F15" s="79">
        <f>SUM(Monitors!D18:D21)*12</f>
        <v>0</v>
      </c>
      <c r="G15" s="80">
        <f>IF(Monitors!D18&gt;0,30,0)</f>
        <v>0</v>
      </c>
      <c r="H15" s="80">
        <f>SUM(Monitors!D18:D21)*30</f>
        <v>0</v>
      </c>
    </row>
    <row r="16" spans="1:8">
      <c r="A16" s="215"/>
      <c r="B16" s="76" t="str">
        <f>Monitors!B18</f>
        <v>PM 2.5 FEM Method A</v>
      </c>
      <c r="C16" s="75"/>
      <c r="D16" s="75"/>
      <c r="E16" s="66">
        <f>IF(Monitors!C18&gt;0,12,0)</f>
        <v>0</v>
      </c>
      <c r="F16" s="72">
        <f>(Monitors!C18+Monitors!E18)*12</f>
        <v>0</v>
      </c>
      <c r="G16" s="81">
        <f>IF(Monitors!E18&gt;0,30,0)</f>
        <v>0</v>
      </c>
      <c r="H16" s="72">
        <f>Monitors!E18*30</f>
        <v>0</v>
      </c>
    </row>
    <row r="17" spans="1:56">
      <c r="A17" s="215"/>
      <c r="B17" s="77" t="str">
        <f>Monitors!B19</f>
        <v>PM 2.5 FEM Method B</v>
      </c>
      <c r="C17" s="75"/>
      <c r="D17" s="75"/>
      <c r="E17" s="71">
        <f>IF(Monitors!C19&gt;0,12,0)</f>
        <v>0</v>
      </c>
      <c r="F17" s="72">
        <f>(Monitors!C19+Monitors!E19)*12</f>
        <v>0</v>
      </c>
      <c r="G17" s="81">
        <f>IF(Monitors!E19&gt;0,30,0)</f>
        <v>0</v>
      </c>
      <c r="H17" s="72">
        <f>Monitors!E19*30</f>
        <v>0</v>
      </c>
    </row>
    <row r="18" spans="1:56">
      <c r="A18" s="215"/>
      <c r="B18" s="77" t="str">
        <f>Monitors!B20</f>
        <v>PM 2.5 FEM Method C</v>
      </c>
      <c r="C18" s="75"/>
      <c r="D18" s="75"/>
      <c r="E18" s="71">
        <f>IF(Monitors!C20&gt;0,12,0)</f>
        <v>0</v>
      </c>
      <c r="F18" s="72">
        <f>(Monitors!C20+Monitors!E20)*12</f>
        <v>0</v>
      </c>
      <c r="G18" s="81">
        <f>IF(Monitors!E20&gt;0,30,0)</f>
        <v>0</v>
      </c>
      <c r="H18" s="72">
        <f>Monitors!E20*30</f>
        <v>0</v>
      </c>
    </row>
    <row r="19" spans="1:56">
      <c r="A19" s="215"/>
      <c r="B19" s="78" t="str">
        <f>Monitors!B21</f>
        <v>PM 2.5 FEM Method D</v>
      </c>
      <c r="C19" s="75"/>
      <c r="D19" s="75"/>
      <c r="E19" s="71">
        <f>IF(Monitors!C21&gt;0,12,0)</f>
        <v>0</v>
      </c>
      <c r="F19" s="72">
        <f>(Monitors!C21+Monitors!E21)*12</f>
        <v>0</v>
      </c>
      <c r="G19" s="81">
        <f>IF(Monitors!E21&gt;0,30,0)</f>
        <v>0</v>
      </c>
      <c r="H19" s="72">
        <f>Monitors!E21*30</f>
        <v>0</v>
      </c>
    </row>
    <row r="20" spans="1:56">
      <c r="A20" s="216"/>
      <c r="B20" s="109" t="s">
        <v>7</v>
      </c>
      <c r="C20" s="82"/>
      <c r="D20" s="83"/>
      <c r="E20" s="255">
        <f>SUM(F11:F19)</f>
        <v>0</v>
      </c>
      <c r="F20" s="256"/>
      <c r="G20" s="255">
        <f>SUM(H11:H19)</f>
        <v>0</v>
      </c>
      <c r="H20" s="256"/>
    </row>
    <row r="21" spans="1:56">
      <c r="A21" s="100"/>
      <c r="B21" s="75"/>
      <c r="C21" s="75"/>
      <c r="D21" s="75"/>
      <c r="E21" s="68"/>
      <c r="F21" s="68"/>
      <c r="G21" s="68"/>
      <c r="H21" s="84"/>
    </row>
    <row r="22" spans="1:56">
      <c r="A22" s="217" t="s">
        <v>39</v>
      </c>
      <c r="B22" s="76" t="s">
        <v>40</v>
      </c>
      <c r="C22" s="75"/>
      <c r="D22" s="75"/>
      <c r="E22" s="66">
        <f>IF(Monitors!C24&gt;0,4,0)</f>
        <v>0</v>
      </c>
      <c r="F22" s="250">
        <f>E22*Monitors!C24+Checks!E23*Monitors!C25+12*Monitors!D24</f>
        <v>0</v>
      </c>
      <c r="G22" s="250">
        <f>IF(Monitors!D24&gt;0,30,0)</f>
        <v>0</v>
      </c>
      <c r="H22" s="250">
        <f>SUM(Monitors!D24:E24)*G22</f>
        <v>0</v>
      </c>
    </row>
    <row r="23" spans="1:56">
      <c r="A23" s="218"/>
      <c r="B23" s="78" t="s">
        <v>41</v>
      </c>
      <c r="C23" s="75"/>
      <c r="D23" s="75"/>
      <c r="E23" s="79">
        <f>IF(Monitors!C25&gt;0,12,0)</f>
        <v>0</v>
      </c>
      <c r="F23" s="259"/>
      <c r="G23" s="251"/>
      <c r="H23" s="251"/>
    </row>
    <row r="24" spans="1:56">
      <c r="A24" s="218"/>
      <c r="B24" s="78" t="s">
        <v>42</v>
      </c>
      <c r="C24" s="85" t="s">
        <v>33</v>
      </c>
      <c r="D24" s="75"/>
      <c r="E24" s="79">
        <f>IF(Monitors!C26&gt;0,12,0)</f>
        <v>0</v>
      </c>
      <c r="F24" s="79">
        <f>SUM(Monitors!C26:D26)*12</f>
        <v>0</v>
      </c>
      <c r="G24" s="86"/>
      <c r="H24" s="87"/>
    </row>
    <row r="25" spans="1:56">
      <c r="A25" s="216"/>
      <c r="B25" s="88" t="s">
        <v>43</v>
      </c>
      <c r="C25" s="75"/>
      <c r="D25" s="75"/>
      <c r="E25" s="257">
        <f>SUM(F22:F24)</f>
        <v>0</v>
      </c>
      <c r="F25" s="256"/>
      <c r="G25" s="255">
        <f>SUM(H22:H24)</f>
        <v>0</v>
      </c>
      <c r="H25" s="256"/>
    </row>
    <row r="26" spans="1:56" s="75" customFormat="1">
      <c r="A26" s="64"/>
      <c r="E26" s="68"/>
      <c r="F26" s="68"/>
      <c r="H26" s="101"/>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row>
    <row r="27" spans="1:56" s="75" customFormat="1">
      <c r="A27" s="217" t="s">
        <v>45</v>
      </c>
      <c r="B27" s="89" t="s">
        <v>47</v>
      </c>
      <c r="E27" s="90">
        <f>IF(Monitors!C29&gt;0,4,0)</f>
        <v>0</v>
      </c>
      <c r="F27" s="90">
        <f>(Monitors!C29+Monitors!D29)*Checks!E27</f>
        <v>0</v>
      </c>
      <c r="G27" s="90">
        <f>IF(Monitors!D29&gt;0,30,0)</f>
        <v>0</v>
      </c>
      <c r="H27" s="90">
        <f>Monitors!D29*30</f>
        <v>0</v>
      </c>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row>
    <row r="28" spans="1:56" s="75" customFormat="1">
      <c r="A28" s="218"/>
      <c r="B28" s="89" t="s">
        <v>46</v>
      </c>
      <c r="E28" s="90">
        <f>IF(Monitors!C30&gt;0,12,0)</f>
        <v>0</v>
      </c>
      <c r="F28" s="90">
        <f>(Monitors!C30+Monitors!D30)*Checks!E28</f>
        <v>0</v>
      </c>
      <c r="G28" s="90">
        <f>IF(Monitors!D30&gt;0,30,0)</f>
        <v>0</v>
      </c>
      <c r="H28" s="90">
        <f>Monitors!D30*30</f>
        <v>0</v>
      </c>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row>
    <row r="29" spans="1:56" s="75" customFormat="1">
      <c r="A29" s="216"/>
      <c r="B29" s="88" t="s">
        <v>48</v>
      </c>
      <c r="E29" s="258">
        <f>SUM(F27:F28)</f>
        <v>0</v>
      </c>
      <c r="F29" s="258"/>
      <c r="G29" s="258">
        <f>SUM(H27:H28)</f>
        <v>0</v>
      </c>
      <c r="H29" s="258"/>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row>
    <row r="30" spans="1:56">
      <c r="A30" s="64"/>
      <c r="B30" s="75"/>
      <c r="C30" s="75"/>
      <c r="D30" s="75"/>
      <c r="E30" s="68"/>
      <c r="F30" s="68"/>
      <c r="G30" s="75"/>
      <c r="H30" s="101"/>
    </row>
    <row r="31" spans="1:56">
      <c r="A31" s="64"/>
      <c r="B31" s="75"/>
      <c r="C31" s="75"/>
      <c r="D31" s="75"/>
      <c r="E31" s="68"/>
      <c r="F31" s="68"/>
      <c r="G31" s="75"/>
      <c r="H31" s="101"/>
    </row>
    <row r="32" spans="1:56">
      <c r="A32" s="252" t="s">
        <v>60</v>
      </c>
      <c r="B32" s="253"/>
      <c r="C32" s="253"/>
      <c r="D32" s="253"/>
      <c r="E32" s="253"/>
      <c r="F32" s="253"/>
      <c r="G32" s="253"/>
      <c r="H32" s="254"/>
    </row>
    <row r="33" spans="1:8">
      <c r="A33" s="252"/>
      <c r="B33" s="253"/>
      <c r="C33" s="253"/>
      <c r="D33" s="253"/>
      <c r="E33" s="253"/>
      <c r="F33" s="253"/>
      <c r="G33" s="253"/>
      <c r="H33" s="254"/>
    </row>
    <row r="34" spans="1:8">
      <c r="A34" s="64"/>
      <c r="B34" s="75"/>
      <c r="C34" s="75"/>
      <c r="D34" s="75"/>
      <c r="E34" s="68"/>
      <c r="F34" s="68"/>
      <c r="G34" s="75"/>
      <c r="H34" s="101"/>
    </row>
    <row r="35" spans="1:8">
      <c r="A35" s="64"/>
      <c r="B35" s="75"/>
      <c r="C35" s="75"/>
      <c r="D35" s="75"/>
      <c r="E35" s="68"/>
      <c r="F35" s="68"/>
      <c r="G35" s="75"/>
      <c r="H35" s="101"/>
    </row>
    <row r="36" spans="1:8">
      <c r="A36" s="64"/>
      <c r="B36" s="75"/>
      <c r="C36" s="75"/>
      <c r="D36" s="75"/>
      <c r="E36" s="68"/>
      <c r="F36" s="68"/>
      <c r="G36" s="75"/>
      <c r="H36" s="101"/>
    </row>
    <row r="37" spans="1:8">
      <c r="A37" s="64"/>
      <c r="B37" s="75"/>
      <c r="C37" s="75"/>
      <c r="D37" s="75"/>
      <c r="E37" s="68"/>
      <c r="F37" s="68"/>
      <c r="G37" s="75"/>
      <c r="H37" s="101"/>
    </row>
    <row r="38" spans="1:8">
      <c r="A38" s="64"/>
      <c r="B38" s="75"/>
      <c r="C38" s="75"/>
      <c r="D38" s="75"/>
      <c r="E38" s="68"/>
      <c r="F38" s="68"/>
      <c r="G38" s="75"/>
      <c r="H38" s="101"/>
    </row>
    <row r="39" spans="1:8">
      <c r="A39" s="102"/>
      <c r="B39" s="103"/>
      <c r="C39" s="103"/>
      <c r="D39" s="103"/>
      <c r="E39" s="104"/>
      <c r="F39" s="104"/>
      <c r="G39" s="103"/>
      <c r="H39" s="105"/>
    </row>
  </sheetData>
  <sheetProtection sheet="1" objects="1" scenarios="1" selectLockedCells="1" selectUnlockedCells="1"/>
  <mergeCells count="19">
    <mergeCell ref="A1:H1"/>
    <mergeCell ref="C2:D2"/>
    <mergeCell ref="E2:F2"/>
    <mergeCell ref="G2:H2"/>
    <mergeCell ref="A2:A3"/>
    <mergeCell ref="G22:G23"/>
    <mergeCell ref="H22:H23"/>
    <mergeCell ref="A11:A20"/>
    <mergeCell ref="A32:H33"/>
    <mergeCell ref="A5:A9"/>
    <mergeCell ref="A27:A29"/>
    <mergeCell ref="E20:F20"/>
    <mergeCell ref="G20:H20"/>
    <mergeCell ref="E25:F25"/>
    <mergeCell ref="G25:H25"/>
    <mergeCell ref="E29:F29"/>
    <mergeCell ref="G29:H29"/>
    <mergeCell ref="A22:A25"/>
    <mergeCell ref="F22:F23"/>
  </mergeCells>
  <conditionalFormatting sqref="E22:E24 F22:H22 F24:H24 E11:H19 E27:H28 B5:D8">
    <cfRule type="cellIs" dxfId="0" priority="6" stopIfTrue="1" operator="equal">
      <formula>0</formula>
    </cfRule>
  </conditionalFormatting>
  <pageMargins left="0.7" right="0.7" top="0.75" bottom="0.75" header="0.3" footer="0.3"/>
  <pageSetup orientation="landscape" r:id="rId1"/>
  <legacyDrawing r:id="rId2"/>
</worksheet>
</file>

<file path=xl/worksheets/sheet4.xml><?xml version="1.0" encoding="utf-8"?>
<worksheet xmlns="http://schemas.openxmlformats.org/spreadsheetml/2006/main" xmlns:r="http://schemas.openxmlformats.org/officeDocument/2006/relationships">
  <sheetPr>
    <tabColor rgb="FF66FF33"/>
  </sheetPr>
  <dimension ref="A1:H39"/>
  <sheetViews>
    <sheetView showGridLines="0" workbookViewId="0">
      <selection activeCell="A35" sqref="A35:XFD35"/>
    </sheetView>
  </sheetViews>
  <sheetFormatPr defaultRowHeight="12.75"/>
  <cols>
    <col min="1" max="1" width="21.42578125" style="17" customWidth="1"/>
    <col min="2" max="4" width="13" style="17" customWidth="1"/>
    <col min="5" max="8" width="15.7109375" style="17" customWidth="1"/>
    <col min="9" max="16384" width="9.140625" style="17"/>
  </cols>
  <sheetData>
    <row r="1" spans="1:8" ht="24.75" customHeight="1">
      <c r="A1" s="263" t="s">
        <v>36</v>
      </c>
      <c r="B1" s="264"/>
      <c r="C1" s="264"/>
      <c r="D1" s="264"/>
      <c r="E1" s="264"/>
      <c r="F1" s="264"/>
      <c r="G1" s="264"/>
      <c r="H1" s="265"/>
    </row>
    <row r="2" spans="1:8" ht="12.75" customHeight="1">
      <c r="A2" s="268" t="s">
        <v>94</v>
      </c>
      <c r="B2" s="269"/>
      <c r="C2" s="269"/>
      <c r="D2" s="269"/>
      <c r="E2" s="269"/>
      <c r="F2" s="269"/>
      <c r="G2" s="269"/>
      <c r="H2" s="270"/>
    </row>
    <row r="3" spans="1:8" s="3" customFormat="1">
      <c r="A3" s="189"/>
      <c r="B3" s="262" t="s">
        <v>14</v>
      </c>
      <c r="C3" s="262"/>
      <c r="D3" s="262"/>
      <c r="E3" s="262" t="s">
        <v>1</v>
      </c>
      <c r="F3" s="262"/>
      <c r="G3" s="262" t="s">
        <v>29</v>
      </c>
      <c r="H3" s="262"/>
    </row>
    <row r="4" spans="1:8" s="3" customFormat="1">
      <c r="A4" s="12"/>
      <c r="B4" s="113" t="s">
        <v>8</v>
      </c>
      <c r="C4" s="19" t="s">
        <v>9</v>
      </c>
      <c r="D4" s="18" t="s">
        <v>10</v>
      </c>
      <c r="E4" s="19" t="s">
        <v>18</v>
      </c>
      <c r="F4" s="19" t="s">
        <v>19</v>
      </c>
      <c r="G4" s="19" t="s">
        <v>18</v>
      </c>
      <c r="H4" s="19" t="s">
        <v>19</v>
      </c>
    </row>
    <row r="5" spans="1:8">
      <c r="A5" s="6" t="s">
        <v>11</v>
      </c>
      <c r="B5" s="5"/>
      <c r="C5" s="5"/>
      <c r="D5" s="5"/>
      <c r="E5" s="13">
        <f>IF(Monitors!C7&gt;0,1,0)</f>
        <v>0</v>
      </c>
      <c r="F5" s="13">
        <f>E5*Monitors!C7</f>
        <v>0</v>
      </c>
      <c r="G5" s="5"/>
      <c r="H5" s="92"/>
    </row>
    <row r="6" spans="1:8">
      <c r="A6" s="8" t="s">
        <v>3</v>
      </c>
      <c r="B6" s="5"/>
      <c r="C6" s="5"/>
      <c r="D6" s="5"/>
      <c r="E6" s="14">
        <f>IF(Monitors!C8&gt;0,1,0)</f>
        <v>0</v>
      </c>
      <c r="F6" s="14">
        <f>E6*Monitors!C8</f>
        <v>0</v>
      </c>
      <c r="G6" s="5"/>
      <c r="H6" s="92"/>
    </row>
    <row r="7" spans="1:8">
      <c r="A7" s="8" t="s">
        <v>4</v>
      </c>
      <c r="B7" s="5"/>
      <c r="C7" s="5"/>
      <c r="D7" s="5"/>
      <c r="E7" s="14">
        <f>IF(Monitors!C9&gt;0,1,0)</f>
        <v>0</v>
      </c>
      <c r="F7" s="14">
        <f>E7*Monitors!C9</f>
        <v>0</v>
      </c>
      <c r="G7" s="5"/>
      <c r="H7" s="92"/>
    </row>
    <row r="8" spans="1:8">
      <c r="A8" s="10" t="s">
        <v>5</v>
      </c>
      <c r="B8" s="5"/>
      <c r="C8" s="5"/>
      <c r="D8" s="5"/>
      <c r="E8" s="15">
        <f>IF(Monitors!C10&gt;0,1,0)</f>
        <v>0</v>
      </c>
      <c r="F8" s="15">
        <f>E8*Monitors!C10</f>
        <v>0</v>
      </c>
      <c r="G8" s="5"/>
      <c r="H8" s="92"/>
    </row>
    <row r="9" spans="1:8">
      <c r="A9" s="2" t="s">
        <v>31</v>
      </c>
      <c r="B9" s="2">
        <f>ROUNDUP(Monitors!C12/5,0)</f>
        <v>0</v>
      </c>
      <c r="C9" s="16"/>
      <c r="D9" s="16"/>
      <c r="E9" s="266">
        <f>SUM(F5:F8)</f>
        <v>0</v>
      </c>
      <c r="F9" s="267"/>
      <c r="G9" s="5"/>
      <c r="H9" s="92"/>
    </row>
    <row r="10" spans="1:8">
      <c r="A10" s="93"/>
      <c r="B10" s="5"/>
      <c r="C10" s="5"/>
      <c r="D10" s="5"/>
      <c r="E10" s="5"/>
      <c r="F10" s="5"/>
      <c r="G10" s="5"/>
      <c r="H10" s="92"/>
    </row>
    <row r="11" spans="1:8">
      <c r="A11" s="2" t="s">
        <v>12</v>
      </c>
      <c r="B11" s="16"/>
      <c r="C11" s="2">
        <f>IF(Monitors!C22&gt;48, ROUNDUP(Monitors!C22/6,0), IF(Monitors!C22&gt;0,(IF(Monitors!C22&gt;5,8,5)),0))</f>
        <v>0</v>
      </c>
      <c r="D11" s="16"/>
      <c r="E11" s="94"/>
      <c r="F11" s="94"/>
      <c r="G11" s="2">
        <f>IF(Monitors!C22&gt;0,2,0)</f>
        <v>0</v>
      </c>
      <c r="H11" s="2">
        <f>SUM(Monitors!C22:E22)*2</f>
        <v>0</v>
      </c>
    </row>
    <row r="12" spans="1:8">
      <c r="A12" s="93"/>
      <c r="B12" s="5"/>
      <c r="C12" s="5"/>
      <c r="D12" s="5"/>
      <c r="E12" s="5"/>
      <c r="F12" s="5"/>
      <c r="G12" s="5"/>
      <c r="H12" s="92"/>
    </row>
    <row r="13" spans="1:8">
      <c r="A13" s="2" t="s">
        <v>39</v>
      </c>
      <c r="B13" s="5"/>
      <c r="C13" s="5"/>
      <c r="D13" s="5"/>
      <c r="E13" s="5"/>
      <c r="F13" s="5"/>
      <c r="G13" s="2">
        <f>IF(Monitors!C27&gt;0,2,0)</f>
        <v>0</v>
      </c>
      <c r="H13" s="2">
        <f>SUM(Monitors!C27:D27)*2</f>
        <v>0</v>
      </c>
    </row>
    <row r="14" spans="1:8">
      <c r="A14" s="93"/>
      <c r="B14" s="95"/>
      <c r="C14" s="5"/>
      <c r="D14" s="95"/>
      <c r="E14" s="5"/>
      <c r="F14" s="5"/>
      <c r="G14" s="5"/>
      <c r="H14" s="92"/>
    </row>
    <row r="15" spans="1:8">
      <c r="A15" s="2" t="s">
        <v>45</v>
      </c>
      <c r="B15" s="5"/>
      <c r="C15" s="5"/>
      <c r="D15" s="2">
        <f>IF(Monitors!C31&gt;0,(IF(Monitors!C31&gt;5,2,1)),0)</f>
        <v>0</v>
      </c>
      <c r="E15" s="5"/>
      <c r="F15" s="5"/>
      <c r="G15" s="2">
        <f>IF(Monitors!C31&gt;0,2,0)</f>
        <v>0</v>
      </c>
      <c r="H15" s="2">
        <f>SUM(Monitors!C31:D31)*G15</f>
        <v>0</v>
      </c>
    </row>
    <row r="16" spans="1:8">
      <c r="A16" s="2" t="s">
        <v>75</v>
      </c>
      <c r="B16" s="5"/>
      <c r="C16" s="5"/>
      <c r="D16" s="2">
        <f>IF(Monitors!C31&gt;0,(IF(Monitors!C31&gt;5,6,4)),0)</f>
        <v>0</v>
      </c>
      <c r="E16" s="5"/>
      <c r="F16" s="5"/>
      <c r="G16" s="5"/>
      <c r="H16" s="92"/>
    </row>
    <row r="17" spans="1:8">
      <c r="A17" s="93"/>
      <c r="B17" s="5"/>
      <c r="C17" s="5"/>
      <c r="D17" s="5"/>
      <c r="E17" s="5"/>
      <c r="F17" s="5"/>
      <c r="G17" s="5"/>
      <c r="H17" s="92"/>
    </row>
    <row r="18" spans="1:8">
      <c r="A18" s="93"/>
      <c r="B18" s="5"/>
      <c r="C18" s="5"/>
      <c r="D18" s="5"/>
      <c r="E18" s="5"/>
      <c r="F18" s="5"/>
      <c r="G18" s="5"/>
      <c r="H18" s="92"/>
    </row>
    <row r="19" spans="1:8">
      <c r="A19" s="93"/>
      <c r="B19" s="5"/>
      <c r="C19" s="5"/>
      <c r="D19" s="5"/>
      <c r="E19" s="5"/>
      <c r="F19" s="5"/>
      <c r="G19" s="5"/>
      <c r="H19" s="92"/>
    </row>
    <row r="20" spans="1:8">
      <c r="A20" s="93"/>
      <c r="B20" s="95"/>
      <c r="C20" s="95"/>
      <c r="D20" s="95"/>
      <c r="E20" s="5"/>
      <c r="F20" s="5"/>
      <c r="G20" s="5"/>
      <c r="H20" s="92"/>
    </row>
    <row r="21" spans="1:8">
      <c r="A21" s="93"/>
      <c r="B21" s="5"/>
      <c r="C21" s="5"/>
      <c r="D21" s="5"/>
      <c r="E21" s="5"/>
      <c r="F21" s="5"/>
      <c r="G21" s="5"/>
      <c r="H21" s="92"/>
    </row>
    <row r="22" spans="1:8">
      <c r="A22" s="93"/>
      <c r="B22" s="5"/>
      <c r="C22" s="5"/>
      <c r="D22" s="5"/>
      <c r="E22" s="5"/>
      <c r="F22" s="5"/>
      <c r="G22" s="5"/>
      <c r="H22" s="92"/>
    </row>
    <row r="23" spans="1:8">
      <c r="A23" s="93"/>
      <c r="B23" s="5"/>
      <c r="C23" s="5"/>
      <c r="D23" s="5"/>
      <c r="E23" s="5"/>
      <c r="F23" s="5"/>
      <c r="G23" s="5"/>
      <c r="H23" s="92"/>
    </row>
    <row r="24" spans="1:8">
      <c r="A24" s="93"/>
      <c r="B24" s="5"/>
      <c r="C24" s="5"/>
      <c r="D24" s="5"/>
      <c r="E24" s="5"/>
      <c r="F24" s="5"/>
      <c r="G24" s="5"/>
      <c r="H24" s="92"/>
    </row>
    <row r="25" spans="1:8">
      <c r="A25" s="99"/>
      <c r="B25" s="158"/>
      <c r="C25" s="5"/>
      <c r="D25" s="5"/>
      <c r="E25" s="5"/>
      <c r="F25" s="5"/>
      <c r="G25" s="5"/>
      <c r="H25" s="92"/>
    </row>
    <row r="26" spans="1:8">
      <c r="A26" s="93"/>
      <c r="B26" s="5"/>
      <c r="C26" s="5"/>
      <c r="D26" s="5"/>
      <c r="E26" s="5"/>
      <c r="F26" s="5"/>
      <c r="G26" s="5"/>
      <c r="H26" s="92"/>
    </row>
    <row r="27" spans="1:8">
      <c r="A27" s="93"/>
      <c r="B27" s="5"/>
      <c r="C27" s="5"/>
      <c r="D27" s="5"/>
      <c r="E27" s="5"/>
      <c r="F27" s="5"/>
      <c r="G27" s="5"/>
      <c r="H27" s="92"/>
    </row>
    <row r="28" spans="1:8">
      <c r="A28" s="93"/>
      <c r="B28" s="5"/>
      <c r="C28" s="5"/>
      <c r="D28" s="5"/>
      <c r="E28" s="5"/>
      <c r="F28" s="5"/>
      <c r="G28" s="5"/>
      <c r="H28" s="92"/>
    </row>
    <row r="29" spans="1:8">
      <c r="A29" s="93"/>
      <c r="B29" s="5"/>
      <c r="C29" s="5"/>
      <c r="D29" s="5"/>
      <c r="E29" s="5"/>
      <c r="F29" s="5"/>
      <c r="G29" s="5"/>
      <c r="H29" s="92"/>
    </row>
    <row r="30" spans="1:8">
      <c r="A30" s="93"/>
      <c r="B30" s="5"/>
      <c r="C30" s="5"/>
      <c r="D30" s="5"/>
      <c r="E30" s="5"/>
      <c r="F30" s="5"/>
      <c r="G30" s="5"/>
      <c r="H30" s="92"/>
    </row>
    <row r="31" spans="1:8">
      <c r="A31" s="93"/>
      <c r="B31" s="5"/>
      <c r="C31" s="5"/>
      <c r="D31" s="5"/>
      <c r="E31" s="5"/>
      <c r="F31" s="5"/>
      <c r="G31" s="5"/>
      <c r="H31" s="92"/>
    </row>
    <row r="32" spans="1:8">
      <c r="A32" s="93"/>
      <c r="B32" s="5"/>
      <c r="C32" s="5"/>
      <c r="D32" s="5"/>
      <c r="E32" s="5"/>
      <c r="F32" s="5"/>
      <c r="G32" s="5"/>
      <c r="H32" s="92"/>
    </row>
    <row r="33" spans="1:8">
      <c r="A33" s="93"/>
      <c r="B33" s="5"/>
      <c r="C33" s="5"/>
      <c r="D33" s="5"/>
      <c r="E33" s="5"/>
      <c r="F33" s="5"/>
      <c r="G33" s="5"/>
      <c r="H33" s="92"/>
    </row>
    <row r="34" spans="1:8">
      <c r="A34" s="93"/>
      <c r="B34" s="5"/>
      <c r="C34" s="5"/>
      <c r="D34" s="5"/>
      <c r="E34" s="5"/>
      <c r="F34" s="5"/>
      <c r="G34" s="5"/>
      <c r="H34" s="92"/>
    </row>
    <row r="35" spans="1:8">
      <c r="A35" s="93"/>
      <c r="B35" s="5"/>
      <c r="C35" s="5"/>
      <c r="D35" s="5"/>
      <c r="E35" s="5"/>
      <c r="F35" s="5"/>
      <c r="G35" s="5"/>
      <c r="H35" s="92"/>
    </row>
    <row r="36" spans="1:8">
      <c r="A36" s="93"/>
      <c r="B36" s="5"/>
      <c r="C36" s="5"/>
      <c r="D36" s="5"/>
      <c r="E36" s="5"/>
      <c r="F36" s="5"/>
      <c r="G36" s="5"/>
      <c r="H36" s="92"/>
    </row>
    <row r="37" spans="1:8">
      <c r="A37" s="93"/>
      <c r="B37" s="5"/>
      <c r="C37" s="5"/>
      <c r="D37" s="5"/>
      <c r="E37" s="5"/>
      <c r="F37" s="5"/>
      <c r="G37" s="5"/>
      <c r="H37" s="92"/>
    </row>
    <row r="38" spans="1:8">
      <c r="A38" s="93"/>
      <c r="B38" s="5"/>
      <c r="C38" s="5"/>
      <c r="D38" s="5"/>
      <c r="E38" s="5"/>
      <c r="F38" s="5"/>
      <c r="G38" s="5"/>
      <c r="H38" s="92"/>
    </row>
    <row r="39" spans="1:8">
      <c r="A39" s="96"/>
      <c r="B39" s="97"/>
      <c r="C39" s="97"/>
      <c r="D39" s="97"/>
      <c r="E39" s="97"/>
      <c r="F39" s="97"/>
      <c r="G39" s="97"/>
      <c r="H39" s="98"/>
    </row>
  </sheetData>
  <sheetProtection sheet="1" objects="1" scenarios="1" selectLockedCells="1" selectUnlockedCells="1"/>
  <mergeCells count="6">
    <mergeCell ref="E3:F3"/>
    <mergeCell ref="B3:D3"/>
    <mergeCell ref="G3:H3"/>
    <mergeCell ref="A1:H1"/>
    <mergeCell ref="E9:F9"/>
    <mergeCell ref="A2:H2"/>
  </mergeCells>
  <pageMargins left="0.7" right="0.7" top="0.75" bottom="0.75" header="0.3" footer="0.3"/>
  <pageSetup orientation="landscape" horizontalDpi="300" verticalDpi="300" r:id="rId1"/>
  <legacyDrawing r:id="rId2"/>
</worksheet>
</file>

<file path=xl/worksheets/sheet5.xml><?xml version="1.0" encoding="utf-8"?>
<worksheet xmlns="http://schemas.openxmlformats.org/spreadsheetml/2006/main" xmlns:r="http://schemas.openxmlformats.org/officeDocument/2006/relationships">
  <sheetPr>
    <tabColor rgb="FFFF0000"/>
  </sheetPr>
  <dimension ref="A1:H39"/>
  <sheetViews>
    <sheetView workbookViewId="0">
      <selection activeCell="D27" sqref="D27"/>
    </sheetView>
  </sheetViews>
  <sheetFormatPr defaultRowHeight="12.75"/>
  <cols>
    <col min="1" max="1" width="21.42578125" style="135" customWidth="1"/>
    <col min="2" max="4" width="13" style="135" customWidth="1"/>
    <col min="5" max="8" width="15.7109375" style="135" customWidth="1"/>
    <col min="9" max="16384" width="9.140625" style="135"/>
  </cols>
  <sheetData>
    <row r="1" spans="1:8" ht="25.5" customHeight="1">
      <c r="A1" s="260" t="s">
        <v>58</v>
      </c>
      <c r="B1" s="209"/>
      <c r="C1" s="209"/>
      <c r="D1" s="209"/>
      <c r="E1" s="209"/>
      <c r="F1" s="209"/>
      <c r="G1" s="209"/>
      <c r="H1" s="210"/>
    </row>
    <row r="2" spans="1:8">
      <c r="A2" s="25"/>
      <c r="B2" s="261" t="s">
        <v>14</v>
      </c>
      <c r="C2" s="261"/>
      <c r="D2" s="261"/>
      <c r="E2" s="261" t="s">
        <v>1</v>
      </c>
      <c r="F2" s="261"/>
      <c r="G2" s="261" t="s">
        <v>29</v>
      </c>
      <c r="H2" s="261"/>
    </row>
    <row r="3" spans="1:8">
      <c r="A3" s="136"/>
      <c r="B3" s="188" t="s">
        <v>8</v>
      </c>
      <c r="C3" s="188" t="s">
        <v>9</v>
      </c>
      <c r="D3" s="187" t="s">
        <v>10</v>
      </c>
      <c r="E3" s="188" t="s">
        <v>18</v>
      </c>
      <c r="F3" s="188" t="s">
        <v>19</v>
      </c>
      <c r="G3" s="188" t="s">
        <v>18</v>
      </c>
      <c r="H3" s="188" t="s">
        <v>19</v>
      </c>
    </row>
    <row r="4" spans="1:8">
      <c r="A4" s="137" t="s">
        <v>31</v>
      </c>
      <c r="B4" s="137">
        <f>Audits!B9*2200</f>
        <v>0</v>
      </c>
      <c r="C4" s="138"/>
      <c r="D4" s="138"/>
      <c r="E4" s="139">
        <f>E20</f>
        <v>300</v>
      </c>
      <c r="F4" s="140">
        <f>Audits!E9*E4</f>
        <v>0</v>
      </c>
      <c r="G4" s="141"/>
      <c r="H4" s="142"/>
    </row>
    <row r="5" spans="1:8">
      <c r="A5" s="143"/>
      <c r="B5" s="141"/>
      <c r="C5" s="141"/>
      <c r="D5" s="141"/>
      <c r="E5" s="141"/>
      <c r="F5" s="141"/>
      <c r="G5" s="141"/>
      <c r="H5" s="142"/>
    </row>
    <row r="6" spans="1:8">
      <c r="A6" s="144" t="s">
        <v>12</v>
      </c>
      <c r="B6" s="138"/>
      <c r="C6" s="144">
        <f>Audits!C11*C22</f>
        <v>0</v>
      </c>
      <c r="D6" s="138"/>
      <c r="E6" s="145"/>
      <c r="F6" s="145"/>
      <c r="G6" s="144">
        <f>G22</f>
        <v>300</v>
      </c>
      <c r="H6" s="144">
        <f>Audits!H11*Costs!G6</f>
        <v>0</v>
      </c>
    </row>
    <row r="7" spans="1:8">
      <c r="A7" s="143"/>
      <c r="B7" s="141"/>
      <c r="C7" s="141"/>
      <c r="D7" s="141"/>
      <c r="E7" s="141"/>
      <c r="F7" s="141"/>
      <c r="G7" s="141"/>
      <c r="H7" s="146"/>
    </row>
    <row r="8" spans="1:8">
      <c r="A8" s="144" t="s">
        <v>39</v>
      </c>
      <c r="B8" s="141"/>
      <c r="C8" s="141"/>
      <c r="D8" s="141"/>
      <c r="E8" s="141"/>
      <c r="F8" s="141"/>
      <c r="G8" s="144">
        <f>G24</f>
        <v>300</v>
      </c>
      <c r="H8" s="144">
        <f>Audits!H13*Costs!G8</f>
        <v>0</v>
      </c>
    </row>
    <row r="9" spans="1:8">
      <c r="A9" s="143"/>
      <c r="B9" s="147"/>
      <c r="C9" s="141"/>
      <c r="D9" s="147"/>
      <c r="E9" s="141"/>
      <c r="F9" s="141"/>
      <c r="G9" s="141"/>
      <c r="H9" s="146"/>
    </row>
    <row r="10" spans="1:8">
      <c r="A10" s="144" t="s">
        <v>45</v>
      </c>
      <c r="B10" s="141"/>
      <c r="C10" s="141"/>
      <c r="D10" s="144">
        <f>IF(Monitors!C31&gt;0,IF(Monitors!C31&gt;5,(6*Costs!D27+2*Costs!D26),(4*Costs!D27+1*Costs!D26)),0)</f>
        <v>0</v>
      </c>
      <c r="E10" s="141"/>
      <c r="F10" s="141"/>
      <c r="G10" s="144">
        <f>G26</f>
        <v>300</v>
      </c>
      <c r="H10" s="144">
        <f>Audits!H15*Costs!G10</f>
        <v>0</v>
      </c>
    </row>
    <row r="11" spans="1:8">
      <c r="A11" s="148"/>
      <c r="B11" s="141"/>
      <c r="C11" s="141"/>
      <c r="D11" s="141"/>
      <c r="E11" s="141"/>
      <c r="F11" s="141"/>
      <c r="G11" s="141"/>
      <c r="H11" s="142"/>
    </row>
    <row r="12" spans="1:8">
      <c r="A12" s="149" t="s">
        <v>51</v>
      </c>
      <c r="B12" s="149">
        <f>B4+C6+D10+F4+H6+H8+H10</f>
        <v>0</v>
      </c>
      <c r="C12" s="141"/>
      <c r="D12" s="141"/>
      <c r="E12" s="141"/>
      <c r="F12" s="141"/>
      <c r="G12" s="141"/>
      <c r="H12" s="142"/>
    </row>
    <row r="13" spans="1:8">
      <c r="A13" s="143"/>
      <c r="B13" s="141"/>
      <c r="C13" s="141"/>
      <c r="D13" s="141"/>
      <c r="E13" s="141"/>
      <c r="F13" s="141"/>
      <c r="G13" s="141"/>
      <c r="H13" s="142"/>
    </row>
    <row r="14" spans="1:8" s="150" customFormat="1">
      <c r="A14" s="143"/>
      <c r="B14" s="141"/>
      <c r="C14" s="141"/>
      <c r="D14" s="141"/>
      <c r="E14" s="141"/>
      <c r="F14" s="141"/>
      <c r="G14" s="141"/>
      <c r="H14" s="142"/>
    </row>
    <row r="15" spans="1:8" s="150" customFormat="1">
      <c r="A15" s="143"/>
      <c r="B15" s="141"/>
      <c r="C15" s="141"/>
      <c r="D15" s="141"/>
      <c r="E15" s="141"/>
      <c r="F15" s="141"/>
      <c r="G15" s="141"/>
      <c r="H15" s="142"/>
    </row>
    <row r="16" spans="1:8">
      <c r="A16" s="148"/>
      <c r="B16" s="141"/>
      <c r="C16" s="151"/>
      <c r="D16" s="141"/>
      <c r="E16" s="141"/>
      <c r="F16" s="141"/>
      <c r="G16" s="141"/>
      <c r="H16" s="142"/>
    </row>
    <row r="17" spans="1:8">
      <c r="A17" s="148"/>
      <c r="B17" s="141"/>
      <c r="C17" s="152"/>
      <c r="D17" s="141"/>
      <c r="E17" s="141"/>
      <c r="F17" s="141"/>
      <c r="G17" s="141"/>
      <c r="H17" s="142"/>
    </row>
    <row r="18" spans="1:8">
      <c r="A18" s="277" t="s">
        <v>76</v>
      </c>
      <c r="B18" s="278"/>
      <c r="C18" s="278"/>
      <c r="D18" s="278"/>
      <c r="E18" s="278"/>
      <c r="F18" s="278"/>
      <c r="G18" s="278"/>
      <c r="H18" s="279"/>
    </row>
    <row r="19" spans="1:8">
      <c r="A19" s="274" t="s">
        <v>103</v>
      </c>
      <c r="B19" s="275"/>
      <c r="C19" s="275"/>
      <c r="D19" s="275"/>
      <c r="E19" s="275"/>
      <c r="F19" s="275"/>
      <c r="G19" s="275"/>
      <c r="H19" s="276"/>
    </row>
    <row r="20" spans="1:8">
      <c r="A20" s="137" t="s">
        <v>31</v>
      </c>
      <c r="B20" s="154">
        <f>AVERAGE(200,200,2400,1540,1500,2548,1250,1250,3000,2802)</f>
        <v>1669</v>
      </c>
      <c r="C20" s="151"/>
      <c r="D20" s="141"/>
      <c r="E20" s="154">
        <v>300</v>
      </c>
      <c r="F20" s="141"/>
      <c r="G20" s="141"/>
      <c r="H20" s="142"/>
    </row>
    <row r="21" spans="1:8">
      <c r="A21" s="143"/>
      <c r="B21" s="141"/>
      <c r="C21" s="151"/>
      <c r="D21" s="141"/>
      <c r="E21" s="141"/>
      <c r="F21" s="141"/>
      <c r="G21" s="141"/>
      <c r="H21" s="142"/>
    </row>
    <row r="22" spans="1:8">
      <c r="A22" s="144" t="s">
        <v>12</v>
      </c>
      <c r="B22" s="141"/>
      <c r="C22" s="155">
        <f>AVERAGE(2663,2680,2251,1875,2300,2498,2300,2900,2200,3022)</f>
        <v>2468.9</v>
      </c>
      <c r="D22" s="141"/>
      <c r="E22" s="141"/>
      <c r="F22" s="141"/>
      <c r="G22" s="154">
        <v>300</v>
      </c>
      <c r="H22" s="142"/>
    </row>
    <row r="23" spans="1:8">
      <c r="A23" s="143"/>
      <c r="B23" s="141"/>
      <c r="C23" s="151"/>
      <c r="D23" s="141"/>
      <c r="E23" s="141"/>
      <c r="F23" s="141"/>
      <c r="G23" s="141"/>
      <c r="H23" s="142"/>
    </row>
    <row r="24" spans="1:8">
      <c r="A24" s="144" t="s">
        <v>39</v>
      </c>
      <c r="B24" s="141"/>
      <c r="C24" s="151"/>
      <c r="D24" s="141"/>
      <c r="E24" s="141"/>
      <c r="F24" s="141"/>
      <c r="G24" s="154">
        <v>300</v>
      </c>
      <c r="H24" s="142"/>
    </row>
    <row r="25" spans="1:8">
      <c r="A25" s="143"/>
      <c r="B25" s="141"/>
      <c r="C25" s="151"/>
      <c r="D25" s="141"/>
      <c r="E25" s="141"/>
      <c r="F25" s="141"/>
      <c r="G25" s="141"/>
      <c r="H25" s="142"/>
    </row>
    <row r="26" spans="1:8">
      <c r="A26" s="144" t="s">
        <v>45</v>
      </c>
      <c r="B26" s="141"/>
      <c r="C26" s="141"/>
      <c r="D26" s="154">
        <f>AVERAGE(2663,2680,2251,1875,2300,2498,2300,2900,2200,3022)</f>
        <v>2468.9</v>
      </c>
      <c r="E26" s="141"/>
      <c r="F26" s="141"/>
      <c r="G26" s="154">
        <v>300</v>
      </c>
      <c r="H26" s="142"/>
    </row>
    <row r="27" spans="1:8">
      <c r="A27" s="144" t="s">
        <v>75</v>
      </c>
      <c r="B27" s="141"/>
      <c r="C27" s="141"/>
      <c r="D27" s="153">
        <v>1000</v>
      </c>
      <c r="E27" s="141"/>
      <c r="F27" s="141"/>
      <c r="G27" s="141"/>
      <c r="H27" s="142"/>
    </row>
    <row r="28" spans="1:8">
      <c r="A28" s="143"/>
      <c r="B28" s="141"/>
      <c r="C28" s="141"/>
      <c r="D28" s="141"/>
      <c r="E28" s="141"/>
      <c r="F28" s="141"/>
      <c r="G28" s="141"/>
      <c r="H28" s="142"/>
    </row>
    <row r="29" spans="1:8">
      <c r="A29" s="143"/>
      <c r="B29" s="141"/>
      <c r="C29" s="141"/>
      <c r="D29" s="141"/>
      <c r="E29" s="141"/>
      <c r="F29" s="141"/>
      <c r="G29" s="141"/>
      <c r="H29" s="142"/>
    </row>
    <row r="30" spans="1:8">
      <c r="A30" s="143"/>
      <c r="B30" s="141"/>
      <c r="C30" s="141"/>
      <c r="D30" s="141"/>
      <c r="E30" s="141"/>
      <c r="F30" s="141"/>
      <c r="G30" s="141"/>
      <c r="H30" s="142"/>
    </row>
    <row r="31" spans="1:8">
      <c r="A31" s="143"/>
      <c r="B31" s="141"/>
      <c r="C31" s="141"/>
      <c r="D31" s="141"/>
      <c r="E31" s="141"/>
      <c r="F31" s="141"/>
      <c r="G31" s="141"/>
      <c r="H31" s="142"/>
    </row>
    <row r="32" spans="1:8">
      <c r="A32" s="143"/>
      <c r="B32" s="141"/>
      <c r="C32" s="141"/>
      <c r="D32" s="141"/>
      <c r="E32" s="141"/>
      <c r="F32" s="141"/>
      <c r="G32" s="141"/>
      <c r="H32" s="142"/>
    </row>
    <row r="33" spans="1:8">
      <c r="A33" s="143"/>
      <c r="B33" s="141"/>
      <c r="C33" s="141"/>
      <c r="D33" s="141"/>
      <c r="E33" s="141"/>
      <c r="F33" s="141"/>
      <c r="G33" s="141"/>
      <c r="H33" s="142"/>
    </row>
    <row r="34" spans="1:8">
      <c r="A34" s="143"/>
      <c r="B34" s="141"/>
      <c r="C34" s="141"/>
      <c r="D34" s="141"/>
      <c r="E34" s="141"/>
      <c r="F34" s="141"/>
      <c r="G34" s="141"/>
      <c r="H34" s="142"/>
    </row>
    <row r="35" spans="1:8">
      <c r="A35" s="143"/>
      <c r="B35" s="141"/>
      <c r="C35" s="141"/>
      <c r="D35" s="141"/>
      <c r="E35" s="141"/>
      <c r="F35" s="141"/>
      <c r="G35" s="141"/>
      <c r="H35" s="142"/>
    </row>
    <row r="36" spans="1:8">
      <c r="A36" s="271" t="s">
        <v>102</v>
      </c>
      <c r="B36" s="272"/>
      <c r="C36" s="272"/>
      <c r="D36" s="272"/>
      <c r="E36" s="272"/>
      <c r="F36" s="272"/>
      <c r="G36" s="272"/>
      <c r="H36" s="273"/>
    </row>
    <row r="37" spans="1:8">
      <c r="A37" s="143"/>
      <c r="B37" s="141"/>
      <c r="C37" s="141"/>
      <c r="D37" s="141"/>
      <c r="E37" s="141"/>
      <c r="F37" s="141"/>
      <c r="G37" s="141"/>
      <c r="H37" s="142"/>
    </row>
    <row r="38" spans="1:8">
      <c r="A38" s="143"/>
      <c r="B38" s="141"/>
      <c r="C38" s="141"/>
      <c r="D38" s="141"/>
      <c r="E38" s="141"/>
      <c r="F38" s="141"/>
      <c r="G38" s="141"/>
      <c r="H38" s="142"/>
    </row>
    <row r="39" spans="1:8">
      <c r="A39" s="193"/>
      <c r="B39" s="194"/>
      <c r="C39" s="194"/>
      <c r="D39" s="194"/>
      <c r="E39" s="194"/>
      <c r="F39" s="194"/>
      <c r="G39" s="194"/>
      <c r="H39" s="195"/>
    </row>
  </sheetData>
  <sheetProtection sheet="1" objects="1" scenarios="1" selectLockedCells="1"/>
  <mergeCells count="7">
    <mergeCell ref="A1:H1"/>
    <mergeCell ref="B2:D2"/>
    <mergeCell ref="E2:F2"/>
    <mergeCell ref="G2:H2"/>
    <mergeCell ref="A36:H36"/>
    <mergeCell ref="A19:H19"/>
    <mergeCell ref="A18:H18"/>
  </mergeCells>
  <hyperlinks>
    <hyperlink ref="A36:H36" r:id="rId1" display="Click here to find the costs for Completely Independent Audits in your EPA Region"/>
  </hyperlinks>
  <pageMargins left="0.7" right="0.7" top="0.75" bottom="0.75" header="0.3" footer="0.3"/>
  <pageSetup orientation="landscape" r:id="rId2"/>
  <legacyDrawing r:id="rId3"/>
</worksheet>
</file>

<file path=xl/worksheets/sheet6.xml><?xml version="1.0" encoding="utf-8"?>
<worksheet xmlns="http://schemas.openxmlformats.org/spreadsheetml/2006/main" xmlns:r="http://schemas.openxmlformats.org/officeDocument/2006/relationships">
  <sheetPr>
    <tabColor rgb="FF0070C0"/>
  </sheetPr>
  <dimension ref="A1:L35"/>
  <sheetViews>
    <sheetView workbookViewId="0">
      <selection activeCell="B13" sqref="B13"/>
    </sheetView>
  </sheetViews>
  <sheetFormatPr defaultRowHeight="12.75"/>
  <cols>
    <col min="1" max="1" width="18.42578125" style="134" customWidth="1"/>
    <col min="2" max="2" width="14.5703125" style="134" customWidth="1"/>
    <col min="3" max="3" width="14.85546875" style="134" customWidth="1"/>
    <col min="4" max="4" width="13" style="134" customWidth="1"/>
    <col min="5" max="5" width="11.7109375" style="134" customWidth="1"/>
    <col min="6" max="6" width="14" style="134" customWidth="1"/>
    <col min="7" max="7" width="12" style="134" customWidth="1"/>
    <col min="8" max="8" width="11.7109375" style="134" customWidth="1"/>
    <col min="9" max="9" width="14.140625" style="134" customWidth="1"/>
    <col min="10" max="12" width="9.140625" style="196"/>
    <col min="13" max="16384" width="9.140625" style="134"/>
  </cols>
  <sheetData>
    <row r="1" spans="1:12" ht="25.5" customHeight="1">
      <c r="A1" s="280" t="s">
        <v>92</v>
      </c>
      <c r="B1" s="281"/>
      <c r="C1" s="281"/>
      <c r="D1" s="281"/>
      <c r="E1" s="281"/>
      <c r="F1" s="281"/>
      <c r="G1" s="281"/>
      <c r="H1" s="281"/>
      <c r="I1" s="282"/>
    </row>
    <row r="2" spans="1:12" ht="38.25">
      <c r="A2" s="184" t="s">
        <v>77</v>
      </c>
      <c r="B2" s="176" t="s">
        <v>98</v>
      </c>
      <c r="C2" s="176" t="s">
        <v>99</v>
      </c>
      <c r="D2" s="176" t="s">
        <v>96</v>
      </c>
      <c r="E2" s="176" t="s">
        <v>87</v>
      </c>
      <c r="F2" s="176" t="s">
        <v>78</v>
      </c>
      <c r="G2" s="176" t="s">
        <v>79</v>
      </c>
      <c r="H2" s="176" t="s">
        <v>95</v>
      </c>
      <c r="I2" s="185" t="s">
        <v>97</v>
      </c>
    </row>
    <row r="3" spans="1:12">
      <c r="A3" s="205" t="s">
        <v>84</v>
      </c>
      <c r="B3" s="186">
        <f>Monitors!C12</f>
        <v>0</v>
      </c>
      <c r="C3" s="162">
        <f>Audits!B9</f>
        <v>0</v>
      </c>
      <c r="D3" s="172">
        <f>Costs!$B$20*C3</f>
        <v>0</v>
      </c>
      <c r="E3" s="186">
        <f>Monitors!C22</f>
        <v>0</v>
      </c>
      <c r="F3" s="162">
        <f>Monitors!D22+Monitors!E22</f>
        <v>0</v>
      </c>
      <c r="G3" s="162">
        <f>Audits!C11</f>
        <v>0</v>
      </c>
      <c r="H3" s="172">
        <f>Costs!$C$22*G3</f>
        <v>0</v>
      </c>
      <c r="I3" s="163">
        <f>D3+H3</f>
        <v>0</v>
      </c>
    </row>
    <row r="4" spans="1:12">
      <c r="A4" s="206" t="s">
        <v>80</v>
      </c>
      <c r="B4" s="204">
        <v>0</v>
      </c>
      <c r="C4" s="157">
        <f t="shared" ref="C4:C12" si="0">ROUNDUP(B4/5,0)</f>
        <v>0</v>
      </c>
      <c r="D4" s="202">
        <f>Costs!$B$20*C4</f>
        <v>0</v>
      </c>
      <c r="E4" s="204">
        <v>0</v>
      </c>
      <c r="F4" s="157">
        <f t="shared" ref="F4:F12" si="1">IF(J4&lt;0.5,L4,K4)</f>
        <v>0</v>
      </c>
      <c r="G4" s="157">
        <f t="shared" ref="G4:G12" si="2">IF(E4&gt;48, ROUNDUP(E4/6,0), IF(E4&gt;0,(IF(E4&gt;5,8,5)),0))</f>
        <v>0</v>
      </c>
      <c r="H4" s="173">
        <f>Costs!$C$22*G4</f>
        <v>0</v>
      </c>
      <c r="I4" s="164">
        <f t="shared" ref="I4:I12" si="3">D4+H4</f>
        <v>0</v>
      </c>
      <c r="J4" s="196">
        <f t="shared" ref="J4:J13" si="4">E4*0.15</f>
        <v>0</v>
      </c>
      <c r="K4" s="196">
        <f t="shared" ref="K4:K13" si="5">ROUND(J4,0)</f>
        <v>0</v>
      </c>
      <c r="L4" s="196">
        <f t="shared" ref="L4:L13" si="6">ROUNDUP(J4,0)</f>
        <v>0</v>
      </c>
    </row>
    <row r="5" spans="1:12">
      <c r="A5" s="206" t="s">
        <v>81</v>
      </c>
      <c r="B5" s="200">
        <v>0</v>
      </c>
      <c r="C5" s="157">
        <f t="shared" si="0"/>
        <v>0</v>
      </c>
      <c r="D5" s="202">
        <f>Costs!$B$20*C5</f>
        <v>0</v>
      </c>
      <c r="E5" s="200">
        <v>0</v>
      </c>
      <c r="F5" s="157">
        <f t="shared" si="1"/>
        <v>0</v>
      </c>
      <c r="G5" s="157">
        <f t="shared" si="2"/>
        <v>0</v>
      </c>
      <c r="H5" s="173">
        <f>Costs!$C$22*G5</f>
        <v>0</v>
      </c>
      <c r="I5" s="164">
        <f t="shared" si="3"/>
        <v>0</v>
      </c>
      <c r="J5" s="196">
        <f t="shared" si="4"/>
        <v>0</v>
      </c>
      <c r="K5" s="196">
        <f t="shared" si="5"/>
        <v>0</v>
      </c>
      <c r="L5" s="196">
        <f t="shared" si="6"/>
        <v>0</v>
      </c>
    </row>
    <row r="6" spans="1:12">
      <c r="A6" s="206" t="s">
        <v>82</v>
      </c>
      <c r="B6" s="200">
        <v>0</v>
      </c>
      <c r="C6" s="157">
        <f t="shared" si="0"/>
        <v>0</v>
      </c>
      <c r="D6" s="202">
        <f>Costs!$B$20*C6</f>
        <v>0</v>
      </c>
      <c r="E6" s="200">
        <v>0</v>
      </c>
      <c r="F6" s="157">
        <f t="shared" si="1"/>
        <v>0</v>
      </c>
      <c r="G6" s="157">
        <f t="shared" si="2"/>
        <v>0</v>
      </c>
      <c r="H6" s="173">
        <f>Costs!$C$22*G6</f>
        <v>0</v>
      </c>
      <c r="I6" s="164">
        <f t="shared" si="3"/>
        <v>0</v>
      </c>
      <c r="J6" s="196">
        <f t="shared" si="4"/>
        <v>0</v>
      </c>
      <c r="K6" s="196">
        <f t="shared" si="5"/>
        <v>0</v>
      </c>
      <c r="L6" s="196">
        <f t="shared" si="6"/>
        <v>0</v>
      </c>
    </row>
    <row r="7" spans="1:12">
      <c r="A7" s="206" t="s">
        <v>104</v>
      </c>
      <c r="B7" s="200">
        <v>0</v>
      </c>
      <c r="C7" s="157">
        <f t="shared" si="0"/>
        <v>0</v>
      </c>
      <c r="D7" s="202">
        <f>Costs!$B$20*C7</f>
        <v>0</v>
      </c>
      <c r="E7" s="200">
        <v>0</v>
      </c>
      <c r="F7" s="157">
        <f t="shared" si="1"/>
        <v>0</v>
      </c>
      <c r="G7" s="157">
        <f t="shared" si="2"/>
        <v>0</v>
      </c>
      <c r="H7" s="173">
        <f>Costs!$C$22*G7</f>
        <v>0</v>
      </c>
      <c r="I7" s="164">
        <f t="shared" si="3"/>
        <v>0</v>
      </c>
      <c r="J7" s="196">
        <f t="shared" si="4"/>
        <v>0</v>
      </c>
      <c r="K7" s="196">
        <f t="shared" si="5"/>
        <v>0</v>
      </c>
      <c r="L7" s="196">
        <f t="shared" si="6"/>
        <v>0</v>
      </c>
    </row>
    <row r="8" spans="1:12">
      <c r="A8" s="206" t="s">
        <v>105</v>
      </c>
      <c r="B8" s="200">
        <v>0</v>
      </c>
      <c r="C8" s="157">
        <f t="shared" si="0"/>
        <v>0</v>
      </c>
      <c r="D8" s="202">
        <f>Costs!$B$20*C8</f>
        <v>0</v>
      </c>
      <c r="E8" s="200">
        <v>0</v>
      </c>
      <c r="F8" s="157">
        <f t="shared" si="1"/>
        <v>0</v>
      </c>
      <c r="G8" s="157">
        <f t="shared" si="2"/>
        <v>0</v>
      </c>
      <c r="H8" s="173">
        <f>Costs!$C$22*G8</f>
        <v>0</v>
      </c>
      <c r="I8" s="164">
        <f t="shared" si="3"/>
        <v>0</v>
      </c>
      <c r="J8" s="196">
        <f t="shared" si="4"/>
        <v>0</v>
      </c>
      <c r="K8" s="196">
        <f t="shared" si="5"/>
        <v>0</v>
      </c>
      <c r="L8" s="196">
        <f t="shared" si="6"/>
        <v>0</v>
      </c>
    </row>
    <row r="9" spans="1:12">
      <c r="A9" s="206" t="s">
        <v>106</v>
      </c>
      <c r="B9" s="200">
        <v>0</v>
      </c>
      <c r="C9" s="157">
        <f t="shared" si="0"/>
        <v>0</v>
      </c>
      <c r="D9" s="202">
        <f>Costs!$B$20*C9</f>
        <v>0</v>
      </c>
      <c r="E9" s="200">
        <v>0</v>
      </c>
      <c r="F9" s="157">
        <f t="shared" si="1"/>
        <v>0</v>
      </c>
      <c r="G9" s="157">
        <f t="shared" si="2"/>
        <v>0</v>
      </c>
      <c r="H9" s="173">
        <f>Costs!$C$22*G9</f>
        <v>0</v>
      </c>
      <c r="I9" s="164">
        <f t="shared" si="3"/>
        <v>0</v>
      </c>
      <c r="J9" s="196">
        <f t="shared" si="4"/>
        <v>0</v>
      </c>
      <c r="K9" s="196">
        <f t="shared" si="5"/>
        <v>0</v>
      </c>
      <c r="L9" s="196">
        <f t="shared" si="6"/>
        <v>0</v>
      </c>
    </row>
    <row r="10" spans="1:12">
      <c r="A10" s="206" t="s">
        <v>107</v>
      </c>
      <c r="B10" s="200">
        <v>0</v>
      </c>
      <c r="C10" s="157">
        <f t="shared" si="0"/>
        <v>0</v>
      </c>
      <c r="D10" s="202">
        <f>Costs!$B$20*C10</f>
        <v>0</v>
      </c>
      <c r="E10" s="200">
        <v>0</v>
      </c>
      <c r="F10" s="157">
        <f t="shared" si="1"/>
        <v>0</v>
      </c>
      <c r="G10" s="157">
        <f t="shared" si="2"/>
        <v>0</v>
      </c>
      <c r="H10" s="173">
        <f>Costs!$C$22*G10</f>
        <v>0</v>
      </c>
      <c r="I10" s="164">
        <f t="shared" si="3"/>
        <v>0</v>
      </c>
      <c r="J10" s="196">
        <f t="shared" si="4"/>
        <v>0</v>
      </c>
      <c r="K10" s="196">
        <f t="shared" si="5"/>
        <v>0</v>
      </c>
      <c r="L10" s="196">
        <f t="shared" si="6"/>
        <v>0</v>
      </c>
    </row>
    <row r="11" spans="1:12">
      <c r="A11" s="206" t="s">
        <v>108</v>
      </c>
      <c r="B11" s="200">
        <v>0</v>
      </c>
      <c r="C11" s="157">
        <f t="shared" si="0"/>
        <v>0</v>
      </c>
      <c r="D11" s="202">
        <f>Costs!$B$20*C11</f>
        <v>0</v>
      </c>
      <c r="E11" s="200">
        <v>0</v>
      </c>
      <c r="F11" s="157">
        <f t="shared" si="1"/>
        <v>0</v>
      </c>
      <c r="G11" s="157">
        <f t="shared" si="2"/>
        <v>0</v>
      </c>
      <c r="H11" s="173">
        <f>Costs!$C$22*G11</f>
        <v>0</v>
      </c>
      <c r="I11" s="164">
        <f t="shared" si="3"/>
        <v>0</v>
      </c>
      <c r="J11" s="196">
        <f t="shared" si="4"/>
        <v>0</v>
      </c>
      <c r="K11" s="196">
        <f t="shared" si="5"/>
        <v>0</v>
      </c>
      <c r="L11" s="196">
        <f t="shared" si="6"/>
        <v>0</v>
      </c>
    </row>
    <row r="12" spans="1:12">
      <c r="A12" s="206" t="s">
        <v>109</v>
      </c>
      <c r="B12" s="200">
        <v>0</v>
      </c>
      <c r="C12" s="157">
        <f t="shared" si="0"/>
        <v>0</v>
      </c>
      <c r="D12" s="202">
        <f>Costs!$B$20*C12</f>
        <v>0</v>
      </c>
      <c r="E12" s="200">
        <v>0</v>
      </c>
      <c r="F12" s="157">
        <f t="shared" si="1"/>
        <v>0</v>
      </c>
      <c r="G12" s="157">
        <f t="shared" si="2"/>
        <v>0</v>
      </c>
      <c r="H12" s="173">
        <f>Costs!$C$22*G12</f>
        <v>0</v>
      </c>
      <c r="I12" s="164">
        <f t="shared" si="3"/>
        <v>0</v>
      </c>
      <c r="J12" s="196">
        <f t="shared" si="4"/>
        <v>0</v>
      </c>
      <c r="K12" s="196">
        <f t="shared" si="5"/>
        <v>0</v>
      </c>
      <c r="L12" s="196">
        <f t="shared" si="6"/>
        <v>0</v>
      </c>
    </row>
    <row r="13" spans="1:12">
      <c r="A13" s="206" t="s">
        <v>110</v>
      </c>
      <c r="B13" s="200">
        <v>0</v>
      </c>
      <c r="C13" s="157">
        <f>ROUNDUP(B13/5,0)</f>
        <v>0</v>
      </c>
      <c r="D13" s="202">
        <f>Costs!$B$20*C13</f>
        <v>0</v>
      </c>
      <c r="E13" s="200">
        <v>0</v>
      </c>
      <c r="F13" s="157">
        <f>IF(J13&lt;0.5,L13,K13)</f>
        <v>0</v>
      </c>
      <c r="G13" s="157">
        <f>IF(E13&gt;48, ROUNDUP(E13/6,0), IF(E13&gt;0,(IF(E13&gt;5,8,5)),0))</f>
        <v>0</v>
      </c>
      <c r="H13" s="173">
        <f>Costs!$C$22*G13</f>
        <v>0</v>
      </c>
      <c r="I13" s="164">
        <f t="shared" ref="I13:I18" si="7">D13+H13</f>
        <v>0</v>
      </c>
      <c r="J13" s="196">
        <f t="shared" si="4"/>
        <v>0</v>
      </c>
      <c r="K13" s="196">
        <f t="shared" si="5"/>
        <v>0</v>
      </c>
      <c r="L13" s="196">
        <f t="shared" si="6"/>
        <v>0</v>
      </c>
    </row>
    <row r="14" spans="1:12">
      <c r="A14" s="206" t="s">
        <v>111</v>
      </c>
      <c r="B14" s="200">
        <v>0</v>
      </c>
      <c r="C14" s="157">
        <f t="shared" ref="C14:C15" si="8">ROUNDUP(B14/5,0)</f>
        <v>0</v>
      </c>
      <c r="D14" s="202">
        <f>Costs!$B$20*C14</f>
        <v>0</v>
      </c>
      <c r="E14" s="200">
        <v>0</v>
      </c>
      <c r="F14" s="157">
        <f>IF(J14&lt;0.5,L14,K14)</f>
        <v>0</v>
      </c>
      <c r="G14" s="157">
        <f t="shared" ref="G14:G15" si="9">IF(E14&gt;48, ROUNDUP(E14/6,0), IF(E14&gt;0,(IF(E14&gt;5,8,5)),0))</f>
        <v>0</v>
      </c>
      <c r="H14" s="173">
        <f>Costs!$C$22*G14</f>
        <v>0</v>
      </c>
      <c r="I14" s="164">
        <f t="shared" si="7"/>
        <v>0</v>
      </c>
      <c r="J14" s="196">
        <f t="shared" ref="J14:J15" si="10">E14*0.15</f>
        <v>0</v>
      </c>
      <c r="K14" s="196">
        <f t="shared" ref="K14:K15" si="11">ROUND(J14,0)</f>
        <v>0</v>
      </c>
      <c r="L14" s="196">
        <f t="shared" ref="L14:L15" si="12">ROUNDUP(J14,0)</f>
        <v>0</v>
      </c>
    </row>
    <row r="15" spans="1:12">
      <c r="A15" s="207" t="s">
        <v>112</v>
      </c>
      <c r="B15" s="201">
        <v>0</v>
      </c>
      <c r="C15" s="165">
        <f t="shared" si="8"/>
        <v>0</v>
      </c>
      <c r="D15" s="203">
        <f>Costs!$B$20*C15</f>
        <v>0</v>
      </c>
      <c r="E15" s="201">
        <v>0</v>
      </c>
      <c r="F15" s="157">
        <f t="shared" ref="F15:F17" si="13">IF(J15&lt;0.5,L15,K15)</f>
        <v>0</v>
      </c>
      <c r="G15" s="157">
        <f t="shared" si="9"/>
        <v>0</v>
      </c>
      <c r="H15" s="171">
        <f>Costs!$C$22*G15</f>
        <v>0</v>
      </c>
      <c r="I15" s="166">
        <f t="shared" si="7"/>
        <v>0</v>
      </c>
      <c r="J15" s="196">
        <f t="shared" si="10"/>
        <v>0</v>
      </c>
      <c r="K15" s="196">
        <f t="shared" si="11"/>
        <v>0</v>
      </c>
      <c r="L15" s="196">
        <f t="shared" si="12"/>
        <v>0</v>
      </c>
    </row>
    <row r="16" spans="1:12" s="160" customFormat="1">
      <c r="A16" s="177" t="s">
        <v>85</v>
      </c>
      <c r="B16" s="169"/>
      <c r="C16" s="167">
        <f>SUM(C3:C15)</f>
        <v>0</v>
      </c>
      <c r="D16" s="174">
        <f>Costs!$B$20*C16</f>
        <v>0</v>
      </c>
      <c r="E16" s="169"/>
      <c r="F16" s="167">
        <f>SUM(F3:F15)</f>
        <v>0</v>
      </c>
      <c r="G16" s="167">
        <f>SUM(G3:G15)</f>
        <v>0</v>
      </c>
      <c r="H16" s="174">
        <f>Costs!$C$22*G16</f>
        <v>0</v>
      </c>
      <c r="I16" s="168">
        <f t="shared" si="7"/>
        <v>0</v>
      </c>
      <c r="J16" s="196">
        <f t="shared" ref="J16" si="14">E16*0.15</f>
        <v>0</v>
      </c>
      <c r="K16" s="196">
        <f t="shared" ref="K16:K17" si="15">ROUND(J16,0)</f>
        <v>0</v>
      </c>
      <c r="L16" s="196">
        <f t="shared" ref="L16:L17" si="16">ROUNDUP(J16,0)</f>
        <v>0</v>
      </c>
    </row>
    <row r="17" spans="1:12" s="160" customFormat="1">
      <c r="A17" s="178" t="s">
        <v>86</v>
      </c>
      <c r="B17" s="169"/>
      <c r="C17" s="159">
        <f>ROUNDUP(SUM(B3:B15)/5,0)</f>
        <v>0</v>
      </c>
      <c r="D17" s="175">
        <f>Costs!$B$20*C17</f>
        <v>0</v>
      </c>
      <c r="E17" s="169"/>
      <c r="F17" s="159">
        <f t="shared" si="13"/>
        <v>0</v>
      </c>
      <c r="G17" s="159">
        <f>IF(SUM(E3:E15)&gt;0,IF(SUM(E3:E15)&gt;5,8,5),0)</f>
        <v>0</v>
      </c>
      <c r="H17" s="175">
        <f>Costs!$C$22*G17</f>
        <v>0</v>
      </c>
      <c r="I17" s="170">
        <f t="shared" si="7"/>
        <v>0</v>
      </c>
      <c r="J17" s="196">
        <f>SUM(E3:E15)*0.15</f>
        <v>0</v>
      </c>
      <c r="K17" s="196">
        <f t="shared" si="15"/>
        <v>0</v>
      </c>
      <c r="L17" s="196">
        <f t="shared" si="16"/>
        <v>0</v>
      </c>
    </row>
    <row r="18" spans="1:12" s="161" customFormat="1">
      <c r="A18" s="179" t="s">
        <v>83</v>
      </c>
      <c r="B18" s="180"/>
      <c r="C18" s="181">
        <f>C16-C17</f>
        <v>0</v>
      </c>
      <c r="D18" s="182">
        <f>Costs!$B$20*C18</f>
        <v>0</v>
      </c>
      <c r="E18" s="179"/>
      <c r="F18" s="181">
        <f>F16-F17</f>
        <v>0</v>
      </c>
      <c r="G18" s="181">
        <f>G16-G17</f>
        <v>0</v>
      </c>
      <c r="H18" s="182">
        <f>Costs!$C$22*G18</f>
        <v>0</v>
      </c>
      <c r="I18" s="183">
        <f t="shared" si="7"/>
        <v>0</v>
      </c>
      <c r="J18" s="196"/>
      <c r="K18" s="196"/>
      <c r="L18" s="196"/>
    </row>
    <row r="19" spans="1:12">
      <c r="A19" s="190"/>
      <c r="B19" s="156"/>
      <c r="C19" s="156"/>
      <c r="D19" s="156"/>
      <c r="E19" s="156"/>
      <c r="F19" s="156"/>
      <c r="G19" s="156"/>
      <c r="H19" s="156"/>
      <c r="I19" s="191"/>
    </row>
    <row r="20" spans="1:12">
      <c r="A20" s="190"/>
      <c r="B20" s="156"/>
      <c r="C20" s="5"/>
      <c r="D20" s="5"/>
      <c r="E20" s="5"/>
      <c r="F20" s="5"/>
      <c r="G20" s="156"/>
      <c r="H20" s="156"/>
      <c r="I20" s="191"/>
    </row>
    <row r="21" spans="1:12" ht="33.75">
      <c r="A21" s="283" t="s">
        <v>90</v>
      </c>
      <c r="B21" s="284"/>
      <c r="C21" s="291"/>
      <c r="D21" s="283" t="s">
        <v>88</v>
      </c>
      <c r="E21" s="284"/>
      <c r="F21" s="284" t="s">
        <v>89</v>
      </c>
      <c r="G21" s="284"/>
      <c r="H21" s="287" t="s">
        <v>83</v>
      </c>
      <c r="I21" s="288"/>
    </row>
    <row r="22" spans="1:12" ht="33">
      <c r="A22" s="292" t="s">
        <v>91</v>
      </c>
      <c r="B22" s="293"/>
      <c r="C22" s="294"/>
      <c r="D22" s="285">
        <f>I3</f>
        <v>0</v>
      </c>
      <c r="E22" s="286"/>
      <c r="F22" s="286" t="e">
        <f>((B3/SUM(B3:B15))*D17)+((E3/SUM(E3:E15))*H17)</f>
        <v>#DIV/0!</v>
      </c>
      <c r="G22" s="286"/>
      <c r="H22" s="289" t="e">
        <f>D22-F22</f>
        <v>#DIV/0!</v>
      </c>
      <c r="I22" s="290"/>
    </row>
    <row r="23" spans="1:12">
      <c r="A23" s="93"/>
      <c r="B23" s="5"/>
      <c r="C23" s="5"/>
      <c r="D23" s="5"/>
      <c r="E23" s="5"/>
      <c r="F23" s="5"/>
      <c r="G23" s="5"/>
      <c r="H23" s="5"/>
      <c r="I23" s="92"/>
    </row>
    <row r="24" spans="1:12">
      <c r="A24" s="93"/>
      <c r="B24" s="5"/>
      <c r="C24" s="5"/>
      <c r="D24" s="5"/>
      <c r="E24" s="5"/>
      <c r="F24" s="5"/>
      <c r="G24" s="5"/>
      <c r="H24" s="5"/>
      <c r="I24" s="92"/>
    </row>
    <row r="25" spans="1:12">
      <c r="A25" s="93"/>
      <c r="B25" s="5"/>
      <c r="C25" s="5"/>
      <c r="D25" s="5"/>
      <c r="E25" s="5"/>
      <c r="F25" s="5"/>
      <c r="G25" s="5"/>
      <c r="H25" s="5"/>
      <c r="I25" s="92"/>
    </row>
    <row r="26" spans="1:12">
      <c r="A26" s="93"/>
      <c r="B26" s="128"/>
      <c r="C26" s="129"/>
      <c r="D26" s="129"/>
      <c r="E26" s="5"/>
      <c r="F26" s="5"/>
      <c r="G26" s="5"/>
      <c r="H26" s="5"/>
      <c r="I26" s="92"/>
    </row>
    <row r="27" spans="1:12">
      <c r="A27" s="192"/>
      <c r="B27" s="130"/>
      <c r="C27" s="131"/>
      <c r="D27" s="130"/>
      <c r="E27" s="5"/>
      <c r="F27" s="5"/>
      <c r="G27" s="5"/>
      <c r="H27" s="5"/>
      <c r="I27" s="92"/>
    </row>
    <row r="28" spans="1:12">
      <c r="A28" s="192"/>
      <c r="B28" s="130"/>
      <c r="C28" s="132"/>
      <c r="D28" s="130"/>
      <c r="E28" s="5"/>
      <c r="F28" s="5"/>
      <c r="G28" s="5"/>
      <c r="H28" s="5"/>
      <c r="I28" s="92"/>
    </row>
    <row r="29" spans="1:12">
      <c r="A29" s="192"/>
      <c r="B29" s="130"/>
      <c r="C29" s="131"/>
      <c r="D29" s="130"/>
      <c r="E29" s="5"/>
      <c r="F29" s="5"/>
      <c r="G29" s="5"/>
      <c r="H29" s="5"/>
      <c r="I29" s="92"/>
    </row>
    <row r="30" spans="1:12">
      <c r="A30" s="192"/>
      <c r="B30" s="133"/>
      <c r="C30" s="131"/>
      <c r="D30" s="130"/>
      <c r="E30" s="5"/>
      <c r="F30" s="5"/>
      <c r="G30" s="5"/>
      <c r="H30" s="5"/>
      <c r="I30" s="92"/>
    </row>
    <row r="31" spans="1:12">
      <c r="A31" s="192"/>
      <c r="B31" s="130"/>
      <c r="C31" s="131"/>
      <c r="D31" s="130"/>
      <c r="E31" s="5"/>
      <c r="F31" s="5"/>
      <c r="G31" s="5"/>
      <c r="H31" s="5"/>
      <c r="I31" s="92"/>
    </row>
    <row r="32" spans="1:12">
      <c r="A32" s="192"/>
      <c r="B32" s="130"/>
      <c r="C32" s="5"/>
      <c r="D32" s="5"/>
      <c r="E32" s="5"/>
      <c r="F32" s="5"/>
      <c r="G32" s="5"/>
      <c r="H32" s="5"/>
      <c r="I32" s="92"/>
    </row>
    <row r="33" spans="1:9">
      <c r="A33" s="192"/>
      <c r="B33" s="130"/>
      <c r="C33" s="5"/>
      <c r="D33" s="5"/>
      <c r="E33" s="5"/>
      <c r="F33" s="5"/>
      <c r="G33" s="5"/>
      <c r="H33" s="5"/>
      <c r="I33" s="92"/>
    </row>
    <row r="34" spans="1:9">
      <c r="A34" s="96"/>
      <c r="B34" s="97"/>
      <c r="C34" s="97"/>
      <c r="D34" s="97"/>
      <c r="E34" s="97"/>
      <c r="F34" s="97"/>
      <c r="G34" s="97"/>
      <c r="H34" s="97"/>
      <c r="I34" s="98"/>
    </row>
    <row r="35" spans="1:9">
      <c r="D35" s="197"/>
    </row>
  </sheetData>
  <sheetProtection sheet="1" objects="1" scenarios="1" selectLockedCells="1"/>
  <mergeCells count="9">
    <mergeCell ref="A1:I1"/>
    <mergeCell ref="D21:E21"/>
    <mergeCell ref="D22:E22"/>
    <mergeCell ref="F21:G21"/>
    <mergeCell ref="F22:G22"/>
    <mergeCell ref="H21:I21"/>
    <mergeCell ref="H22:I22"/>
    <mergeCell ref="A21:C21"/>
    <mergeCell ref="A22:C22"/>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dimension ref="A1:I52"/>
  <sheetViews>
    <sheetView workbookViewId="0">
      <selection activeCell="D29" sqref="D29"/>
    </sheetView>
  </sheetViews>
  <sheetFormatPr defaultRowHeight="12.75"/>
  <cols>
    <col min="9" max="9" width="9.140625" style="20"/>
  </cols>
  <sheetData>
    <row r="1" spans="1:9">
      <c r="A1" s="1" t="s">
        <v>52</v>
      </c>
      <c r="B1" s="1" t="s">
        <v>53</v>
      </c>
      <c r="C1" s="1" t="s">
        <v>8</v>
      </c>
      <c r="D1" s="1" t="s">
        <v>9</v>
      </c>
      <c r="E1" s="1"/>
      <c r="F1" s="1" t="s">
        <v>54</v>
      </c>
      <c r="G1" s="1" t="s">
        <v>55</v>
      </c>
      <c r="H1" s="1" t="s">
        <v>56</v>
      </c>
      <c r="I1" s="21" t="s">
        <v>57</v>
      </c>
    </row>
    <row r="2" spans="1:9">
      <c r="A2" s="1">
        <v>0</v>
      </c>
      <c r="B2" s="1">
        <v>0</v>
      </c>
      <c r="C2" s="1">
        <v>0</v>
      </c>
      <c r="D2" s="1">
        <v>0</v>
      </c>
      <c r="E2" s="1">
        <v>0</v>
      </c>
      <c r="F2" s="1">
        <v>0</v>
      </c>
      <c r="G2" s="1">
        <v>0</v>
      </c>
      <c r="H2" s="1">
        <v>0</v>
      </c>
      <c r="I2" s="21">
        <v>0</v>
      </c>
    </row>
    <row r="3" spans="1:9">
      <c r="A3">
        <v>1</v>
      </c>
      <c r="B3">
        <v>1</v>
      </c>
      <c r="C3">
        <v>1</v>
      </c>
      <c r="D3">
        <v>5</v>
      </c>
      <c r="E3">
        <v>1</v>
      </c>
      <c r="F3">
        <f>C3*2200</f>
        <v>2200</v>
      </c>
      <c r="G3">
        <f>D3*2000</f>
        <v>10000</v>
      </c>
      <c r="H3">
        <f>F3+G3</f>
        <v>12200</v>
      </c>
      <c r="I3" s="20">
        <f>G3/E3</f>
        <v>10000</v>
      </c>
    </row>
    <row r="4" spans="1:9">
      <c r="A4">
        <v>2</v>
      </c>
      <c r="B4">
        <v>2</v>
      </c>
      <c r="C4">
        <v>1</v>
      </c>
      <c r="D4">
        <v>5</v>
      </c>
      <c r="E4">
        <v>2</v>
      </c>
      <c r="F4">
        <f t="shared" ref="F4:F52" si="0">C4*2200</f>
        <v>2200</v>
      </c>
      <c r="G4">
        <f t="shared" ref="G4:G52" si="1">D4*2000</f>
        <v>10000</v>
      </c>
      <c r="H4">
        <f t="shared" ref="H4:H52" si="2">F4+G4</f>
        <v>12200</v>
      </c>
      <c r="I4" s="20">
        <f t="shared" ref="I4:I52" si="3">G4/E4</f>
        <v>5000</v>
      </c>
    </row>
    <row r="5" spans="1:9">
      <c r="A5">
        <v>3</v>
      </c>
      <c r="B5">
        <v>3</v>
      </c>
      <c r="C5">
        <v>1</v>
      </c>
      <c r="D5">
        <v>5</v>
      </c>
      <c r="E5">
        <v>3</v>
      </c>
      <c r="F5">
        <f t="shared" si="0"/>
        <v>2200</v>
      </c>
      <c r="G5">
        <f t="shared" si="1"/>
        <v>10000</v>
      </c>
      <c r="H5">
        <f t="shared" si="2"/>
        <v>12200</v>
      </c>
      <c r="I5" s="20">
        <f t="shared" si="3"/>
        <v>3333.3333333333335</v>
      </c>
    </row>
    <row r="6" spans="1:9">
      <c r="A6">
        <v>4</v>
      </c>
      <c r="B6">
        <v>4</v>
      </c>
      <c r="C6">
        <v>1</v>
      </c>
      <c r="D6">
        <v>5</v>
      </c>
      <c r="E6">
        <v>4</v>
      </c>
      <c r="F6">
        <f t="shared" si="0"/>
        <v>2200</v>
      </c>
      <c r="G6">
        <f t="shared" si="1"/>
        <v>10000</v>
      </c>
      <c r="H6">
        <f t="shared" si="2"/>
        <v>12200</v>
      </c>
      <c r="I6" s="20">
        <f t="shared" si="3"/>
        <v>2500</v>
      </c>
    </row>
    <row r="7" spans="1:9">
      <c r="A7">
        <v>5</v>
      </c>
      <c r="B7">
        <v>5</v>
      </c>
      <c r="C7">
        <v>1</v>
      </c>
      <c r="D7">
        <v>5</v>
      </c>
      <c r="E7">
        <v>5</v>
      </c>
      <c r="F7">
        <f t="shared" si="0"/>
        <v>2200</v>
      </c>
      <c r="G7">
        <f t="shared" si="1"/>
        <v>10000</v>
      </c>
      <c r="H7">
        <f t="shared" si="2"/>
        <v>12200</v>
      </c>
      <c r="I7" s="20">
        <f t="shared" si="3"/>
        <v>2000</v>
      </c>
    </row>
    <row r="8" spans="1:9">
      <c r="A8">
        <v>6</v>
      </c>
      <c r="B8">
        <v>6</v>
      </c>
      <c r="C8">
        <v>2</v>
      </c>
      <c r="D8">
        <v>8</v>
      </c>
      <c r="E8">
        <v>6</v>
      </c>
      <c r="F8">
        <f t="shared" si="0"/>
        <v>4400</v>
      </c>
      <c r="G8">
        <f t="shared" si="1"/>
        <v>16000</v>
      </c>
      <c r="H8">
        <f t="shared" si="2"/>
        <v>20400</v>
      </c>
      <c r="I8" s="20">
        <f t="shared" si="3"/>
        <v>2666.6666666666665</v>
      </c>
    </row>
    <row r="9" spans="1:9">
      <c r="A9">
        <v>7</v>
      </c>
      <c r="B9">
        <v>7</v>
      </c>
      <c r="C9">
        <v>2</v>
      </c>
      <c r="D9">
        <v>8</v>
      </c>
      <c r="E9">
        <v>7</v>
      </c>
      <c r="F9">
        <f t="shared" si="0"/>
        <v>4400</v>
      </c>
      <c r="G9">
        <f t="shared" si="1"/>
        <v>16000</v>
      </c>
      <c r="H9">
        <f t="shared" si="2"/>
        <v>20400</v>
      </c>
      <c r="I9" s="20">
        <f t="shared" si="3"/>
        <v>2285.7142857142858</v>
      </c>
    </row>
    <row r="10" spans="1:9">
      <c r="A10">
        <v>8</v>
      </c>
      <c r="B10">
        <v>8</v>
      </c>
      <c r="C10">
        <v>2</v>
      </c>
      <c r="D10">
        <v>8</v>
      </c>
      <c r="E10">
        <v>8</v>
      </c>
      <c r="F10">
        <f t="shared" si="0"/>
        <v>4400</v>
      </c>
      <c r="G10">
        <f t="shared" si="1"/>
        <v>16000</v>
      </c>
      <c r="H10">
        <f t="shared" si="2"/>
        <v>20400</v>
      </c>
      <c r="I10" s="20">
        <f t="shared" si="3"/>
        <v>2000</v>
      </c>
    </row>
    <row r="11" spans="1:9">
      <c r="A11">
        <v>9</v>
      </c>
      <c r="B11">
        <v>9</v>
      </c>
      <c r="C11">
        <v>2</v>
      </c>
      <c r="D11">
        <v>8</v>
      </c>
      <c r="E11">
        <v>9</v>
      </c>
      <c r="F11">
        <f t="shared" si="0"/>
        <v>4400</v>
      </c>
      <c r="G11">
        <f t="shared" si="1"/>
        <v>16000</v>
      </c>
      <c r="H11">
        <f t="shared" si="2"/>
        <v>20400</v>
      </c>
      <c r="I11" s="20">
        <f t="shared" si="3"/>
        <v>1777.7777777777778</v>
      </c>
    </row>
    <row r="12" spans="1:9">
      <c r="A12">
        <v>10</v>
      </c>
      <c r="B12">
        <v>10</v>
      </c>
      <c r="C12">
        <v>2</v>
      </c>
      <c r="D12">
        <v>8</v>
      </c>
      <c r="E12">
        <v>10</v>
      </c>
      <c r="F12">
        <f t="shared" si="0"/>
        <v>4400</v>
      </c>
      <c r="G12">
        <f t="shared" si="1"/>
        <v>16000</v>
      </c>
      <c r="H12">
        <f t="shared" si="2"/>
        <v>20400</v>
      </c>
      <c r="I12" s="20">
        <f t="shared" si="3"/>
        <v>1600</v>
      </c>
    </row>
    <row r="13" spans="1:9">
      <c r="A13">
        <v>11</v>
      </c>
      <c r="B13">
        <v>11</v>
      </c>
      <c r="C13">
        <v>3</v>
      </c>
      <c r="D13">
        <v>8</v>
      </c>
      <c r="E13">
        <v>11</v>
      </c>
      <c r="F13">
        <f t="shared" si="0"/>
        <v>6600</v>
      </c>
      <c r="G13">
        <f t="shared" si="1"/>
        <v>16000</v>
      </c>
      <c r="H13">
        <f t="shared" si="2"/>
        <v>22600</v>
      </c>
      <c r="I13" s="20">
        <f t="shared" si="3"/>
        <v>1454.5454545454545</v>
      </c>
    </row>
    <row r="14" spans="1:9">
      <c r="A14">
        <v>12</v>
      </c>
      <c r="B14">
        <v>12</v>
      </c>
      <c r="C14">
        <v>3</v>
      </c>
      <c r="D14">
        <v>8</v>
      </c>
      <c r="E14">
        <v>12</v>
      </c>
      <c r="F14">
        <f t="shared" si="0"/>
        <v>6600</v>
      </c>
      <c r="G14">
        <f t="shared" si="1"/>
        <v>16000</v>
      </c>
      <c r="H14">
        <f t="shared" si="2"/>
        <v>22600</v>
      </c>
      <c r="I14" s="20">
        <f t="shared" si="3"/>
        <v>1333.3333333333333</v>
      </c>
    </row>
    <row r="15" spans="1:9">
      <c r="A15">
        <v>13</v>
      </c>
      <c r="B15">
        <v>13</v>
      </c>
      <c r="C15">
        <v>3</v>
      </c>
      <c r="D15">
        <v>8</v>
      </c>
      <c r="E15">
        <v>13</v>
      </c>
      <c r="F15">
        <f t="shared" si="0"/>
        <v>6600</v>
      </c>
      <c r="G15">
        <f t="shared" si="1"/>
        <v>16000</v>
      </c>
      <c r="H15">
        <f t="shared" si="2"/>
        <v>22600</v>
      </c>
      <c r="I15" s="20">
        <f t="shared" si="3"/>
        <v>1230.7692307692307</v>
      </c>
    </row>
    <row r="16" spans="1:9">
      <c r="A16">
        <v>14</v>
      </c>
      <c r="B16">
        <v>14</v>
      </c>
      <c r="C16">
        <v>3</v>
      </c>
      <c r="D16">
        <v>8</v>
      </c>
      <c r="E16">
        <v>14</v>
      </c>
      <c r="F16">
        <f t="shared" si="0"/>
        <v>6600</v>
      </c>
      <c r="G16">
        <f t="shared" si="1"/>
        <v>16000</v>
      </c>
      <c r="H16">
        <f t="shared" si="2"/>
        <v>22600</v>
      </c>
      <c r="I16" s="20">
        <f t="shared" si="3"/>
        <v>1142.8571428571429</v>
      </c>
    </row>
    <row r="17" spans="1:9">
      <c r="A17">
        <v>15</v>
      </c>
      <c r="B17">
        <v>15</v>
      </c>
      <c r="C17">
        <v>3</v>
      </c>
      <c r="D17">
        <v>8</v>
      </c>
      <c r="E17">
        <v>15</v>
      </c>
      <c r="F17">
        <f t="shared" si="0"/>
        <v>6600</v>
      </c>
      <c r="G17">
        <f t="shared" si="1"/>
        <v>16000</v>
      </c>
      <c r="H17">
        <f t="shared" si="2"/>
        <v>22600</v>
      </c>
      <c r="I17" s="20">
        <f t="shared" si="3"/>
        <v>1066.6666666666667</v>
      </c>
    </row>
    <row r="18" spans="1:9">
      <c r="A18">
        <v>16</v>
      </c>
      <c r="B18">
        <v>16</v>
      </c>
      <c r="C18">
        <v>4</v>
      </c>
      <c r="D18">
        <v>8</v>
      </c>
      <c r="E18">
        <v>16</v>
      </c>
      <c r="F18">
        <f t="shared" si="0"/>
        <v>8800</v>
      </c>
      <c r="G18">
        <f t="shared" si="1"/>
        <v>16000</v>
      </c>
      <c r="H18">
        <f t="shared" si="2"/>
        <v>24800</v>
      </c>
      <c r="I18" s="20">
        <f t="shared" si="3"/>
        <v>1000</v>
      </c>
    </row>
    <row r="19" spans="1:9">
      <c r="A19">
        <v>17</v>
      </c>
      <c r="B19">
        <v>17</v>
      </c>
      <c r="C19">
        <v>4</v>
      </c>
      <c r="D19">
        <v>8</v>
      </c>
      <c r="E19">
        <v>17</v>
      </c>
      <c r="F19">
        <f t="shared" si="0"/>
        <v>8800</v>
      </c>
      <c r="G19">
        <f t="shared" si="1"/>
        <v>16000</v>
      </c>
      <c r="H19">
        <f t="shared" si="2"/>
        <v>24800</v>
      </c>
      <c r="I19" s="20">
        <f t="shared" si="3"/>
        <v>941.17647058823525</v>
      </c>
    </row>
    <row r="20" spans="1:9">
      <c r="A20">
        <v>18</v>
      </c>
      <c r="B20">
        <v>18</v>
      </c>
      <c r="C20">
        <v>4</v>
      </c>
      <c r="D20">
        <v>8</v>
      </c>
      <c r="E20">
        <v>18</v>
      </c>
      <c r="F20">
        <f t="shared" si="0"/>
        <v>8800</v>
      </c>
      <c r="G20">
        <f t="shared" si="1"/>
        <v>16000</v>
      </c>
      <c r="H20">
        <f t="shared" si="2"/>
        <v>24800</v>
      </c>
      <c r="I20" s="20">
        <f t="shared" si="3"/>
        <v>888.88888888888891</v>
      </c>
    </row>
    <row r="21" spans="1:9">
      <c r="A21">
        <v>19</v>
      </c>
      <c r="B21">
        <v>19</v>
      </c>
      <c r="C21">
        <v>4</v>
      </c>
      <c r="D21">
        <v>8</v>
      </c>
      <c r="E21">
        <v>19</v>
      </c>
      <c r="F21">
        <f t="shared" si="0"/>
        <v>8800</v>
      </c>
      <c r="G21">
        <f t="shared" si="1"/>
        <v>16000</v>
      </c>
      <c r="H21">
        <f t="shared" si="2"/>
        <v>24800</v>
      </c>
      <c r="I21" s="20">
        <f t="shared" si="3"/>
        <v>842.10526315789468</v>
      </c>
    </row>
    <row r="22" spans="1:9">
      <c r="A22">
        <v>20</v>
      </c>
      <c r="B22">
        <v>20</v>
      </c>
      <c r="C22">
        <v>4</v>
      </c>
      <c r="D22">
        <v>8</v>
      </c>
      <c r="E22">
        <v>20</v>
      </c>
      <c r="F22">
        <f t="shared" si="0"/>
        <v>8800</v>
      </c>
      <c r="G22">
        <f t="shared" si="1"/>
        <v>16000</v>
      </c>
      <c r="H22">
        <f t="shared" si="2"/>
        <v>24800</v>
      </c>
      <c r="I22" s="20">
        <f t="shared" si="3"/>
        <v>800</v>
      </c>
    </row>
    <row r="23" spans="1:9">
      <c r="A23">
        <v>21</v>
      </c>
      <c r="B23">
        <v>21</v>
      </c>
      <c r="C23">
        <v>5</v>
      </c>
      <c r="D23">
        <v>8</v>
      </c>
      <c r="E23">
        <v>21</v>
      </c>
      <c r="F23">
        <f t="shared" si="0"/>
        <v>11000</v>
      </c>
      <c r="G23">
        <f t="shared" si="1"/>
        <v>16000</v>
      </c>
      <c r="H23">
        <f t="shared" si="2"/>
        <v>27000</v>
      </c>
      <c r="I23" s="20">
        <f t="shared" si="3"/>
        <v>761.90476190476193</v>
      </c>
    </row>
    <row r="24" spans="1:9">
      <c r="A24">
        <v>22</v>
      </c>
      <c r="B24">
        <v>22</v>
      </c>
      <c r="C24">
        <v>5</v>
      </c>
      <c r="D24">
        <v>8</v>
      </c>
      <c r="E24">
        <v>22</v>
      </c>
      <c r="F24">
        <f t="shared" si="0"/>
        <v>11000</v>
      </c>
      <c r="G24">
        <f t="shared" si="1"/>
        <v>16000</v>
      </c>
      <c r="H24">
        <f t="shared" si="2"/>
        <v>27000</v>
      </c>
      <c r="I24" s="20">
        <f t="shared" si="3"/>
        <v>727.27272727272725</v>
      </c>
    </row>
    <row r="25" spans="1:9">
      <c r="A25">
        <v>23</v>
      </c>
      <c r="B25">
        <v>23</v>
      </c>
      <c r="C25">
        <v>5</v>
      </c>
      <c r="D25">
        <v>8</v>
      </c>
      <c r="E25">
        <v>23</v>
      </c>
      <c r="F25">
        <f t="shared" si="0"/>
        <v>11000</v>
      </c>
      <c r="G25">
        <f t="shared" si="1"/>
        <v>16000</v>
      </c>
      <c r="H25">
        <f t="shared" si="2"/>
        <v>27000</v>
      </c>
      <c r="I25" s="20">
        <f t="shared" si="3"/>
        <v>695.6521739130435</v>
      </c>
    </row>
    <row r="26" spans="1:9">
      <c r="A26">
        <v>24</v>
      </c>
      <c r="B26">
        <v>24</v>
      </c>
      <c r="C26">
        <v>5</v>
      </c>
      <c r="D26">
        <v>8</v>
      </c>
      <c r="E26">
        <v>24</v>
      </c>
      <c r="F26">
        <f t="shared" si="0"/>
        <v>11000</v>
      </c>
      <c r="G26">
        <f t="shared" si="1"/>
        <v>16000</v>
      </c>
      <c r="H26">
        <f t="shared" si="2"/>
        <v>27000</v>
      </c>
      <c r="I26" s="20">
        <f t="shared" si="3"/>
        <v>666.66666666666663</v>
      </c>
    </row>
    <row r="27" spans="1:9">
      <c r="A27">
        <v>25</v>
      </c>
      <c r="B27">
        <v>25</v>
      </c>
      <c r="C27">
        <v>5</v>
      </c>
      <c r="D27">
        <v>8</v>
      </c>
      <c r="E27">
        <v>25</v>
      </c>
      <c r="F27">
        <f t="shared" si="0"/>
        <v>11000</v>
      </c>
      <c r="G27">
        <f t="shared" si="1"/>
        <v>16000</v>
      </c>
      <c r="H27">
        <f t="shared" si="2"/>
        <v>27000</v>
      </c>
      <c r="I27" s="20">
        <f t="shared" si="3"/>
        <v>640</v>
      </c>
    </row>
    <row r="28" spans="1:9">
      <c r="A28">
        <v>26</v>
      </c>
      <c r="B28">
        <v>26</v>
      </c>
      <c r="C28">
        <v>6</v>
      </c>
      <c r="D28">
        <v>8</v>
      </c>
      <c r="E28">
        <v>26</v>
      </c>
      <c r="F28">
        <f t="shared" si="0"/>
        <v>13200</v>
      </c>
      <c r="G28">
        <f t="shared" si="1"/>
        <v>16000</v>
      </c>
      <c r="H28">
        <f t="shared" si="2"/>
        <v>29200</v>
      </c>
      <c r="I28" s="20">
        <f t="shared" si="3"/>
        <v>615.38461538461536</v>
      </c>
    </row>
    <row r="29" spans="1:9">
      <c r="A29">
        <v>27</v>
      </c>
      <c r="B29">
        <v>27</v>
      </c>
      <c r="C29">
        <v>6</v>
      </c>
      <c r="D29">
        <v>8</v>
      </c>
      <c r="E29">
        <v>27</v>
      </c>
      <c r="F29">
        <f t="shared" si="0"/>
        <v>13200</v>
      </c>
      <c r="G29">
        <f t="shared" si="1"/>
        <v>16000</v>
      </c>
      <c r="H29">
        <f t="shared" si="2"/>
        <v>29200</v>
      </c>
      <c r="I29" s="20">
        <f t="shared" si="3"/>
        <v>592.59259259259261</v>
      </c>
    </row>
    <row r="30" spans="1:9">
      <c r="A30">
        <v>28</v>
      </c>
      <c r="B30">
        <v>28</v>
      </c>
      <c r="C30">
        <v>6</v>
      </c>
      <c r="D30">
        <v>8</v>
      </c>
      <c r="E30">
        <v>28</v>
      </c>
      <c r="F30">
        <f t="shared" si="0"/>
        <v>13200</v>
      </c>
      <c r="G30">
        <f t="shared" si="1"/>
        <v>16000</v>
      </c>
      <c r="H30">
        <f t="shared" si="2"/>
        <v>29200</v>
      </c>
      <c r="I30" s="20">
        <f t="shared" si="3"/>
        <v>571.42857142857144</v>
      </c>
    </row>
    <row r="31" spans="1:9">
      <c r="A31">
        <v>29</v>
      </c>
      <c r="B31">
        <v>29</v>
      </c>
      <c r="C31">
        <v>6</v>
      </c>
      <c r="D31">
        <v>8</v>
      </c>
      <c r="E31">
        <v>29</v>
      </c>
      <c r="F31">
        <f t="shared" si="0"/>
        <v>13200</v>
      </c>
      <c r="G31">
        <f t="shared" si="1"/>
        <v>16000</v>
      </c>
      <c r="H31">
        <f t="shared" si="2"/>
        <v>29200</v>
      </c>
      <c r="I31" s="20">
        <f t="shared" si="3"/>
        <v>551.72413793103453</v>
      </c>
    </row>
    <row r="32" spans="1:9">
      <c r="A32">
        <v>30</v>
      </c>
      <c r="B32">
        <v>30</v>
      </c>
      <c r="C32">
        <v>6</v>
      </c>
      <c r="D32">
        <v>8</v>
      </c>
      <c r="E32">
        <v>30</v>
      </c>
      <c r="F32">
        <f t="shared" si="0"/>
        <v>13200</v>
      </c>
      <c r="G32">
        <f t="shared" si="1"/>
        <v>16000</v>
      </c>
      <c r="H32">
        <f t="shared" si="2"/>
        <v>29200</v>
      </c>
      <c r="I32" s="20">
        <f t="shared" si="3"/>
        <v>533.33333333333337</v>
      </c>
    </row>
    <row r="33" spans="1:9">
      <c r="A33">
        <v>31</v>
      </c>
      <c r="B33">
        <v>31</v>
      </c>
      <c r="C33">
        <v>7</v>
      </c>
      <c r="D33">
        <v>8</v>
      </c>
      <c r="E33">
        <v>31</v>
      </c>
      <c r="F33">
        <f t="shared" si="0"/>
        <v>15400</v>
      </c>
      <c r="G33">
        <f t="shared" si="1"/>
        <v>16000</v>
      </c>
      <c r="H33">
        <f t="shared" si="2"/>
        <v>31400</v>
      </c>
      <c r="I33" s="20">
        <f t="shared" si="3"/>
        <v>516.12903225806451</v>
      </c>
    </row>
    <row r="34" spans="1:9">
      <c r="A34">
        <v>32</v>
      </c>
      <c r="B34">
        <v>32</v>
      </c>
      <c r="C34">
        <v>7</v>
      </c>
      <c r="D34">
        <v>8</v>
      </c>
      <c r="E34">
        <v>32</v>
      </c>
      <c r="F34">
        <f t="shared" si="0"/>
        <v>15400</v>
      </c>
      <c r="G34">
        <f t="shared" si="1"/>
        <v>16000</v>
      </c>
      <c r="H34">
        <f t="shared" si="2"/>
        <v>31400</v>
      </c>
      <c r="I34" s="20">
        <f t="shared" si="3"/>
        <v>500</v>
      </c>
    </row>
    <row r="35" spans="1:9">
      <c r="A35">
        <v>33</v>
      </c>
      <c r="B35">
        <v>33</v>
      </c>
      <c r="C35">
        <v>7</v>
      </c>
      <c r="D35">
        <v>8</v>
      </c>
      <c r="E35">
        <v>33</v>
      </c>
      <c r="F35">
        <f t="shared" si="0"/>
        <v>15400</v>
      </c>
      <c r="G35">
        <f t="shared" si="1"/>
        <v>16000</v>
      </c>
      <c r="H35">
        <f t="shared" si="2"/>
        <v>31400</v>
      </c>
      <c r="I35" s="20">
        <f t="shared" si="3"/>
        <v>484.84848484848487</v>
      </c>
    </row>
    <row r="36" spans="1:9">
      <c r="A36">
        <v>34</v>
      </c>
      <c r="B36">
        <v>34</v>
      </c>
      <c r="C36">
        <v>7</v>
      </c>
      <c r="D36">
        <v>8</v>
      </c>
      <c r="E36">
        <v>34</v>
      </c>
      <c r="F36">
        <f t="shared" si="0"/>
        <v>15400</v>
      </c>
      <c r="G36">
        <f t="shared" si="1"/>
        <v>16000</v>
      </c>
      <c r="H36">
        <f t="shared" si="2"/>
        <v>31400</v>
      </c>
      <c r="I36" s="20">
        <f t="shared" si="3"/>
        <v>470.58823529411762</v>
      </c>
    </row>
    <row r="37" spans="1:9">
      <c r="A37">
        <v>35</v>
      </c>
      <c r="B37">
        <v>35</v>
      </c>
      <c r="C37">
        <v>7</v>
      </c>
      <c r="D37">
        <v>8</v>
      </c>
      <c r="E37">
        <v>35</v>
      </c>
      <c r="F37">
        <f t="shared" si="0"/>
        <v>15400</v>
      </c>
      <c r="G37">
        <f t="shared" si="1"/>
        <v>16000</v>
      </c>
      <c r="H37">
        <f t="shared" si="2"/>
        <v>31400</v>
      </c>
      <c r="I37" s="20">
        <f t="shared" si="3"/>
        <v>457.14285714285717</v>
      </c>
    </row>
    <row r="38" spans="1:9">
      <c r="A38">
        <v>36</v>
      </c>
      <c r="B38">
        <v>36</v>
      </c>
      <c r="C38">
        <v>8</v>
      </c>
      <c r="D38">
        <v>8</v>
      </c>
      <c r="E38">
        <v>36</v>
      </c>
      <c r="F38">
        <f t="shared" si="0"/>
        <v>17600</v>
      </c>
      <c r="G38">
        <f t="shared" si="1"/>
        <v>16000</v>
      </c>
      <c r="H38">
        <f t="shared" si="2"/>
        <v>33600</v>
      </c>
      <c r="I38" s="20">
        <f t="shared" si="3"/>
        <v>444.44444444444446</v>
      </c>
    </row>
    <row r="39" spans="1:9">
      <c r="A39">
        <v>37</v>
      </c>
      <c r="B39">
        <v>37</v>
      </c>
      <c r="C39">
        <v>8</v>
      </c>
      <c r="D39">
        <v>8</v>
      </c>
      <c r="E39">
        <v>37</v>
      </c>
      <c r="F39">
        <f t="shared" si="0"/>
        <v>17600</v>
      </c>
      <c r="G39">
        <f t="shared" si="1"/>
        <v>16000</v>
      </c>
      <c r="H39">
        <f t="shared" si="2"/>
        <v>33600</v>
      </c>
      <c r="I39" s="20">
        <f t="shared" si="3"/>
        <v>432.43243243243245</v>
      </c>
    </row>
    <row r="40" spans="1:9">
      <c r="A40">
        <v>38</v>
      </c>
      <c r="B40">
        <v>38</v>
      </c>
      <c r="C40">
        <v>8</v>
      </c>
      <c r="D40">
        <v>8</v>
      </c>
      <c r="E40">
        <v>38</v>
      </c>
      <c r="F40">
        <f t="shared" si="0"/>
        <v>17600</v>
      </c>
      <c r="G40">
        <f t="shared" si="1"/>
        <v>16000</v>
      </c>
      <c r="H40">
        <f t="shared" si="2"/>
        <v>33600</v>
      </c>
      <c r="I40" s="20">
        <f t="shared" si="3"/>
        <v>421.05263157894734</v>
      </c>
    </row>
    <row r="41" spans="1:9">
      <c r="A41">
        <v>39</v>
      </c>
      <c r="B41">
        <v>39</v>
      </c>
      <c r="C41">
        <v>8</v>
      </c>
      <c r="D41">
        <v>8</v>
      </c>
      <c r="E41">
        <v>39</v>
      </c>
      <c r="F41">
        <f t="shared" si="0"/>
        <v>17600</v>
      </c>
      <c r="G41">
        <f t="shared" si="1"/>
        <v>16000</v>
      </c>
      <c r="H41">
        <f t="shared" si="2"/>
        <v>33600</v>
      </c>
      <c r="I41" s="20">
        <f t="shared" si="3"/>
        <v>410.25641025641028</v>
      </c>
    </row>
    <row r="42" spans="1:9">
      <c r="A42">
        <v>40</v>
      </c>
      <c r="B42">
        <v>40</v>
      </c>
      <c r="C42">
        <v>8</v>
      </c>
      <c r="D42">
        <v>8</v>
      </c>
      <c r="E42">
        <v>40</v>
      </c>
      <c r="F42">
        <f t="shared" si="0"/>
        <v>17600</v>
      </c>
      <c r="G42">
        <f t="shared" si="1"/>
        <v>16000</v>
      </c>
      <c r="H42">
        <f t="shared" si="2"/>
        <v>33600</v>
      </c>
      <c r="I42" s="20">
        <f t="shared" si="3"/>
        <v>400</v>
      </c>
    </row>
    <row r="43" spans="1:9">
      <c r="A43">
        <v>41</v>
      </c>
      <c r="B43">
        <v>41</v>
      </c>
      <c r="C43">
        <v>9</v>
      </c>
      <c r="D43">
        <v>8</v>
      </c>
      <c r="E43">
        <v>41</v>
      </c>
      <c r="F43">
        <f t="shared" si="0"/>
        <v>19800</v>
      </c>
      <c r="G43">
        <f t="shared" si="1"/>
        <v>16000</v>
      </c>
      <c r="H43">
        <f t="shared" si="2"/>
        <v>35800</v>
      </c>
      <c r="I43" s="20">
        <f t="shared" si="3"/>
        <v>390.2439024390244</v>
      </c>
    </row>
    <row r="44" spans="1:9">
      <c r="A44">
        <v>42</v>
      </c>
      <c r="B44">
        <v>42</v>
      </c>
      <c r="C44">
        <v>9</v>
      </c>
      <c r="D44">
        <v>8</v>
      </c>
      <c r="E44">
        <v>42</v>
      </c>
      <c r="F44">
        <f t="shared" si="0"/>
        <v>19800</v>
      </c>
      <c r="G44">
        <f t="shared" si="1"/>
        <v>16000</v>
      </c>
      <c r="H44">
        <f t="shared" si="2"/>
        <v>35800</v>
      </c>
      <c r="I44" s="20">
        <f t="shared" si="3"/>
        <v>380.95238095238096</v>
      </c>
    </row>
    <row r="45" spans="1:9">
      <c r="A45">
        <v>43</v>
      </c>
      <c r="B45">
        <v>43</v>
      </c>
      <c r="C45">
        <v>9</v>
      </c>
      <c r="D45">
        <v>8</v>
      </c>
      <c r="E45">
        <v>43</v>
      </c>
      <c r="F45">
        <f t="shared" si="0"/>
        <v>19800</v>
      </c>
      <c r="G45">
        <f t="shared" si="1"/>
        <v>16000</v>
      </c>
      <c r="H45">
        <f t="shared" si="2"/>
        <v>35800</v>
      </c>
      <c r="I45" s="20">
        <f t="shared" si="3"/>
        <v>372.09302325581393</v>
      </c>
    </row>
    <row r="46" spans="1:9">
      <c r="A46">
        <v>44</v>
      </c>
      <c r="B46">
        <v>44</v>
      </c>
      <c r="C46">
        <v>9</v>
      </c>
      <c r="D46">
        <v>8</v>
      </c>
      <c r="E46">
        <v>44</v>
      </c>
      <c r="F46">
        <f t="shared" si="0"/>
        <v>19800</v>
      </c>
      <c r="G46">
        <f t="shared" si="1"/>
        <v>16000</v>
      </c>
      <c r="H46">
        <f t="shared" si="2"/>
        <v>35800</v>
      </c>
      <c r="I46" s="20">
        <f t="shared" si="3"/>
        <v>363.63636363636363</v>
      </c>
    </row>
    <row r="47" spans="1:9">
      <c r="A47">
        <v>45</v>
      </c>
      <c r="B47">
        <v>45</v>
      </c>
      <c r="C47">
        <v>9</v>
      </c>
      <c r="D47">
        <v>8</v>
      </c>
      <c r="E47">
        <v>45</v>
      </c>
      <c r="F47">
        <f t="shared" si="0"/>
        <v>19800</v>
      </c>
      <c r="G47">
        <f t="shared" si="1"/>
        <v>16000</v>
      </c>
      <c r="H47">
        <f t="shared" si="2"/>
        <v>35800</v>
      </c>
      <c r="I47" s="20">
        <f t="shared" si="3"/>
        <v>355.55555555555554</v>
      </c>
    </row>
    <row r="48" spans="1:9">
      <c r="A48">
        <v>46</v>
      </c>
      <c r="B48">
        <v>46</v>
      </c>
      <c r="C48">
        <v>10</v>
      </c>
      <c r="D48">
        <v>8</v>
      </c>
      <c r="E48">
        <v>46</v>
      </c>
      <c r="F48">
        <f t="shared" si="0"/>
        <v>22000</v>
      </c>
      <c r="G48">
        <f t="shared" si="1"/>
        <v>16000</v>
      </c>
      <c r="H48">
        <f t="shared" si="2"/>
        <v>38000</v>
      </c>
      <c r="I48" s="20">
        <f t="shared" si="3"/>
        <v>347.82608695652175</v>
      </c>
    </row>
    <row r="49" spans="1:9">
      <c r="A49">
        <v>47</v>
      </c>
      <c r="B49">
        <v>47</v>
      </c>
      <c r="C49">
        <v>10</v>
      </c>
      <c r="D49">
        <v>8</v>
      </c>
      <c r="E49">
        <v>47</v>
      </c>
      <c r="F49">
        <f t="shared" si="0"/>
        <v>22000</v>
      </c>
      <c r="G49">
        <f t="shared" si="1"/>
        <v>16000</v>
      </c>
      <c r="H49">
        <f t="shared" si="2"/>
        <v>38000</v>
      </c>
      <c r="I49" s="20">
        <f t="shared" si="3"/>
        <v>340.42553191489361</v>
      </c>
    </row>
    <row r="50" spans="1:9">
      <c r="A50">
        <v>48</v>
      </c>
      <c r="B50">
        <v>48</v>
      </c>
      <c r="C50">
        <v>10</v>
      </c>
      <c r="D50">
        <v>8</v>
      </c>
      <c r="E50">
        <v>48</v>
      </c>
      <c r="F50">
        <f t="shared" si="0"/>
        <v>22000</v>
      </c>
      <c r="G50">
        <f t="shared" si="1"/>
        <v>16000</v>
      </c>
      <c r="H50">
        <f t="shared" si="2"/>
        <v>38000</v>
      </c>
      <c r="I50" s="20">
        <f t="shared" si="3"/>
        <v>333.33333333333331</v>
      </c>
    </row>
    <row r="51" spans="1:9">
      <c r="A51">
        <v>49</v>
      </c>
      <c r="B51">
        <v>49</v>
      </c>
      <c r="C51">
        <v>10</v>
      </c>
      <c r="D51">
        <v>9</v>
      </c>
      <c r="E51">
        <v>49</v>
      </c>
      <c r="F51">
        <f t="shared" si="0"/>
        <v>22000</v>
      </c>
      <c r="G51">
        <f t="shared" si="1"/>
        <v>18000</v>
      </c>
      <c r="H51">
        <f t="shared" si="2"/>
        <v>40000</v>
      </c>
      <c r="I51" s="20">
        <f t="shared" si="3"/>
        <v>367.34693877551018</v>
      </c>
    </row>
    <row r="52" spans="1:9">
      <c r="A52">
        <v>50</v>
      </c>
      <c r="B52">
        <v>50</v>
      </c>
      <c r="C52">
        <v>10</v>
      </c>
      <c r="D52">
        <v>9</v>
      </c>
      <c r="E52">
        <v>50</v>
      </c>
      <c r="F52">
        <f t="shared" si="0"/>
        <v>22000</v>
      </c>
      <c r="G52">
        <f t="shared" si="1"/>
        <v>18000</v>
      </c>
      <c r="H52">
        <f t="shared" si="2"/>
        <v>40000</v>
      </c>
      <c r="I52" s="20">
        <f t="shared" si="3"/>
        <v>360</v>
      </c>
    </row>
  </sheetData>
  <sheetProtection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Charts</vt:lpstr>
      </vt:variant>
      <vt:variant>
        <vt:i4>1</vt:i4>
      </vt:variant>
    </vt:vector>
  </HeadingPairs>
  <TitlesOfParts>
    <vt:vector size="8" baseType="lpstr">
      <vt:lpstr>Introduction</vt:lpstr>
      <vt:lpstr>Monitors</vt:lpstr>
      <vt:lpstr>Checks</vt:lpstr>
      <vt:lpstr>Audits</vt:lpstr>
      <vt:lpstr>Costs</vt:lpstr>
      <vt:lpstr>PQAO Consolidation</vt:lpstr>
      <vt:lpstr>Lookup Table</vt:lpstr>
      <vt:lpstr>Graph</vt:lpstr>
    </vt:vector>
  </TitlesOfParts>
  <Company>EPA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ctsuser</dc:creator>
  <cp:lastModifiedBy>melinda</cp:lastModifiedBy>
  <cp:lastPrinted>2011-04-14T14:11:32Z</cp:lastPrinted>
  <dcterms:created xsi:type="dcterms:W3CDTF">2010-10-05T12:49:35Z</dcterms:created>
  <dcterms:modified xsi:type="dcterms:W3CDTF">2012-05-16T22:11:43Z</dcterms:modified>
</cp:coreProperties>
</file>